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autoCompressPictures="0" defaultThemeVersion="124226"/>
  <bookViews>
    <workbookView xWindow="0" yWindow="0" windowWidth="25605" windowHeight="15540"/>
  </bookViews>
  <sheets>
    <sheet name="Introdução" sheetId="15" r:id="rId1"/>
    <sheet name="Total" sheetId="13" r:id="rId2"/>
    <sheet name="Entradas" sheetId="1" r:id="rId3"/>
    <sheet name="Parametros Gerais" sheetId="3" r:id="rId4"/>
    <sheet name="Parametros Blind" sheetId="10" r:id="rId5"/>
    <sheet name="Capac_Esp" sheetId="9" r:id="rId6"/>
    <sheet name="Arrasto" sheetId="2" r:id="rId7"/>
    <sheet name="Torque" sheetId="12" r:id="rId8"/>
    <sheet name="CMagnetico" sheetId="7" r:id="rId9"/>
    <sheet name="Energia" sheetId="8" r:id="rId10"/>
    <sheet name="Radiação" sheetId="11" r:id="rId11"/>
    <sheet name="Lançadores" sheetId="14" r:id="rId12"/>
  </sheets>
  <definedNames>
    <definedName name="a_1500">'Parametros Gerais'!$C$29</definedName>
    <definedName name="a_400">'Parametros Gerais'!$C$27</definedName>
    <definedName name="a_700">'Parametros Gerais'!$C$28</definedName>
    <definedName name="Aax_I01500">'Parametros Gerais'!$C$37</definedName>
    <definedName name="Aax_I01500Max">'Parametros Gerais'!$C$58</definedName>
    <definedName name="Aax_I0700">'Parametros Gerais'!$C$34</definedName>
    <definedName name="Aax_I0700Max">'Parametros Gerais'!$C$55</definedName>
    <definedName name="Aax_I121500">'Parametros Gerais'!$C$44</definedName>
    <definedName name="Aax_I121500Max">'Parametros Gerais'!$C$65</definedName>
    <definedName name="Aax_I12700">'Parametros Gerais'!$C$41</definedName>
    <definedName name="Aax_I12700Max">'Parametros Gerais'!$C$62</definedName>
    <definedName name="Aax_I251500">'Parametros Gerais'!$C$51</definedName>
    <definedName name="Aax_I251500Max">'Parametros Gerais'!$C$72</definedName>
    <definedName name="Aax_I25700">'Parametros Gerais'!$C$48</definedName>
    <definedName name="Aax_I25700Max">'Parametros Gerais'!$C$69</definedName>
    <definedName name="Aay_I01500">'Parametros Gerais'!$C$38</definedName>
    <definedName name="Aay_I01500Max">'Parametros Gerais'!$C$59</definedName>
    <definedName name="Aay_I0700">'Parametros Gerais'!$C$35</definedName>
    <definedName name="Aay_I0700Max">'Parametros Gerais'!$C$56</definedName>
    <definedName name="Aay_I121500">'Parametros Gerais'!$C$45</definedName>
    <definedName name="Aay_I121500Max">'Parametros Gerais'!$C$66</definedName>
    <definedName name="Aay_I12700">'Parametros Gerais'!$C$42</definedName>
    <definedName name="Aay_I12700Max">'Parametros Gerais'!$C$63</definedName>
    <definedName name="Aay_I251500">'Parametros Gerais'!$C$52</definedName>
    <definedName name="Aay_I251500Max">'Parametros Gerais'!$C$73</definedName>
    <definedName name="Aay_I25700">'Parametros Gerais'!$C$49</definedName>
    <definedName name="Aay_I25700Max">'Parametros Gerais'!$C$70</definedName>
    <definedName name="Aaz_I01500">'Parametros Gerais'!$C$39</definedName>
    <definedName name="Aaz_I01500Max">'Parametros Gerais'!$C$60</definedName>
    <definedName name="Aaz_I0700">'Parametros Gerais'!$C$36</definedName>
    <definedName name="Aaz_I0700Max">'Parametros Gerais'!$C$57</definedName>
    <definedName name="Aaz_I121500">'Parametros Gerais'!$C$46</definedName>
    <definedName name="Aaz_I121500Max">'Parametros Gerais'!$C$67</definedName>
    <definedName name="Aaz_I12700">'Parametros Gerais'!$C$43</definedName>
    <definedName name="Aaz_I12700Max">'Parametros Gerais'!$C$64</definedName>
    <definedName name="Aaz_I251500">'Parametros Gerais'!$C$53</definedName>
    <definedName name="Aaz_I251500Max">'Parametros Gerais'!$C$74</definedName>
    <definedName name="Aaz_I25700">'Parametros Gerais'!$C$50</definedName>
    <definedName name="Aaz_I25700Max">'Parametros Gerais'!$C$71</definedName>
    <definedName name="AEAdg">Entradas!$C$111</definedName>
    <definedName name="AEAdm">Entradas!$C$110</definedName>
    <definedName name="AEAdp">Entradas!$C$109</definedName>
    <definedName name="AEDPg">Entradas!$C$103</definedName>
    <definedName name="AEDPm">Entradas!$C$102</definedName>
    <definedName name="AEDPp">Entradas!$C$101</definedName>
    <definedName name="ApNadir">Entradas!$C$134</definedName>
    <definedName name="aponto">Entradas!$C$5</definedName>
    <definedName name="APS_my">Entradas!$C$46</definedName>
    <definedName name="Aps_y">Entradas!$C$45</definedName>
    <definedName name="ApSol">Entradas!$C$135</definedName>
    <definedName name="AsaRot1">Entradas!$C$137</definedName>
    <definedName name="AsaRot2">Entradas!$C$138</definedName>
    <definedName name="Aswlat">Entradas!$C$29</definedName>
    <definedName name="Aswmnx">Entradas!$C$19</definedName>
    <definedName name="Aswmsx">Entradas!$C$15</definedName>
    <definedName name="Asx">Entradas!$C$41</definedName>
    <definedName name="Asy">Entradas!$C$42</definedName>
    <definedName name="Asz">Entradas!$C$43</definedName>
    <definedName name="AuPanel">Entradas!$C$87</definedName>
    <definedName name="AuWing">Entradas!$C$86</definedName>
    <definedName name="AxP">Entradas!$C$38</definedName>
    <definedName name="AyP">Entradas!$C$39</definedName>
    <definedName name="AzP">Entradas!$C$40</definedName>
    <definedName name="BaHT">Entradas!$C$58</definedName>
    <definedName name="BESSO1500H10">'Parametros Gerais'!$C$129</definedName>
    <definedName name="BESSO1500H12">'Parametros Gerais'!$C$132</definedName>
    <definedName name="BESSO400H10">'Parametros Gerais'!$C$117</definedName>
    <definedName name="BESSO400H12">'Parametros Gerais'!$C$120</definedName>
    <definedName name="BESSO700H10">'Parametros Gerais'!$C$123</definedName>
    <definedName name="BESSO700H12">'Parametros Gerais'!$C$126</definedName>
    <definedName name="BMHT">Entradas!$C$57</definedName>
    <definedName name="Cd">Entradas!$C$7</definedName>
    <definedName name="CEE">Entradas!$C$61</definedName>
    <definedName name="Cfsi">Entradas!$C$32</definedName>
    <definedName name="CMEQ01500x">'Parametros Gerais'!$C$92</definedName>
    <definedName name="CMEQ01500y">'Parametros Gerais'!$C$93</definedName>
    <definedName name="CMEQ01500z">'Parametros Gerais'!$C$94</definedName>
    <definedName name="CMEQ0400x">'Parametros Gerais'!$C$86</definedName>
    <definedName name="CMEQ0400y">'Parametros Gerais'!$C$87</definedName>
    <definedName name="CMEQ0400z">'Parametros Gerais'!$C$88</definedName>
    <definedName name="CMEQ0700x">'Parametros Gerais'!$C$89</definedName>
    <definedName name="CMEQ0700y">'Parametros Gerais'!$C$90</definedName>
    <definedName name="CMEQ0700z">'Parametros Gerais'!$C$91</definedName>
    <definedName name="CMEQ121500x">'Parametros Gerais'!$C$102</definedName>
    <definedName name="CMEQ121500y">'Parametros Gerais'!$C$103</definedName>
    <definedName name="CMEQ121500z">'Parametros Gerais'!$C$104</definedName>
    <definedName name="CMEQ12400x">'Parametros Gerais'!$C$96</definedName>
    <definedName name="CMEQ12400y">'Parametros Gerais'!$C$97</definedName>
    <definedName name="CMEQ12400z">'Parametros Gerais'!$C$98</definedName>
    <definedName name="CMEQ12700x">'Parametros Gerais'!$C$99</definedName>
    <definedName name="CMEQ12700y">'Parametros Gerais'!$C$100</definedName>
    <definedName name="CMEQ12700z">'Parametros Gerais'!$C$101</definedName>
    <definedName name="CMEQ251500x">'Parametros Gerais'!$C$112</definedName>
    <definedName name="CMEQ251500y">'Parametros Gerais'!$C$113</definedName>
    <definedName name="CMEQ251500z">'Parametros Gerais'!$C$114</definedName>
    <definedName name="CMEQ25400x">'Parametros Gerais'!$C$106</definedName>
    <definedName name="CMEQ25400y">'Parametros Gerais'!$C$107</definedName>
    <definedName name="CMEQ25400z">'Parametros Gerais'!$C$108</definedName>
    <definedName name="CMEQ25700x">'Parametros Gerais'!$C$109</definedName>
    <definedName name="CMEQ25700y">'Parametros Gerais'!$C$110</definedName>
    <definedName name="CMEQ25700z">'Parametros Gerais'!$C$111</definedName>
    <definedName name="CMSS1500x">'Parametros Gerais'!$C$82</definedName>
    <definedName name="CMSS1500y">'Parametros Gerais'!$C$83</definedName>
    <definedName name="CMSS1500z">'Parametros Gerais'!$C$84</definedName>
    <definedName name="CMSS400x">'Parametros Gerais'!$C$76</definedName>
    <definedName name="CMSS400y">'Parametros Gerais'!$C$77</definedName>
    <definedName name="CMSS400z">'Parametros Gerais'!$C$78</definedName>
    <definedName name="CMSS700x">'Parametros Gerais'!$C$79</definedName>
    <definedName name="CMSS700y">'Parametros Gerais'!$C$80</definedName>
    <definedName name="CMSS700z">'Parametros Gerais'!$C$81</definedName>
    <definedName name="ConfBatt">Entradas!$C$147</definedName>
    <definedName name="ConfSAG">Entradas!$C$148</definedName>
    <definedName name="ConfTanks">Entradas!$C$144</definedName>
    <definedName name="ConfTRods">Entradas!$C$146</definedName>
    <definedName name="ConfWheels">Entradas!$C$145</definedName>
    <definedName name="Da">Entradas!$C$2</definedName>
    <definedName name="DenAl">Entradas!$C$116</definedName>
    <definedName name="DenCol">Entradas!$C$10</definedName>
    <definedName name="DenHidra">'Parametros Gerais'!$C$31</definedName>
    <definedName name="DESSO1500H10">'Parametros Gerais'!$C$130</definedName>
    <definedName name="DESSO1500H12">'Parametros Gerais'!$C$133</definedName>
    <definedName name="DESSO400H10">'Parametros Gerais'!$C$118</definedName>
    <definedName name="DESSO400H12">'Parametros Gerais'!$C$121</definedName>
    <definedName name="DESSO700H10">'Parametros Gerais'!$C$124</definedName>
    <definedName name="DESSO700H12">'Parametros Gerais'!$C$127</definedName>
    <definedName name="dmax">Entradas!$C$4</definedName>
    <definedName name="DneprAlg">'Parametros Gerais'!$C$165</definedName>
    <definedName name="DneprAlt">'Parametros Gerais'!$C$166</definedName>
    <definedName name="Dneprc">Entradas!$C$33</definedName>
    <definedName name="Dneprf1m">'Parametros Gerais'!$C$167</definedName>
    <definedName name="Dod">Entradas!$C$88</definedName>
    <definedName name="EBEQ01500BE">'Parametros Gerais'!$C$142</definedName>
    <definedName name="EBEQ01500DE">'Parametros Gerais'!$C$143</definedName>
    <definedName name="EBEQ01500ME">'Parametros Gerais'!$C$141</definedName>
    <definedName name="EBEQ0400BE">'Parametros Gerais'!$C$136</definedName>
    <definedName name="EBEQ0400DE">'Parametros Gerais'!$C$137</definedName>
    <definedName name="EBEQ0400ME">'Parametros Gerais'!$C$135</definedName>
    <definedName name="EBEQ0700BE">'Parametros Gerais'!$C$139</definedName>
    <definedName name="EBEQ0700DE">'Parametros Gerais'!$C$140</definedName>
    <definedName name="EBEQ0700ME">'Parametros Gerais'!$C$138</definedName>
    <definedName name="EBEQ121500BE">'Parametros Gerais'!$C$152</definedName>
    <definedName name="EBEQ121500DE">'Parametros Gerais'!$C$153</definedName>
    <definedName name="EBEQ121500ME">'Parametros Gerais'!$C$151</definedName>
    <definedName name="EBEQ12400BE">'Parametros Gerais'!$C$146</definedName>
    <definedName name="EBEQ12400DE">'Parametros Gerais'!$C$147</definedName>
    <definedName name="EBEQ12400ME">'Parametros Gerais'!$C$145</definedName>
    <definedName name="EBEQ12700BE">'Parametros Gerais'!$C$149</definedName>
    <definedName name="EBEQ12700DE">'Parametros Gerais'!$C$150</definedName>
    <definedName name="EBEQ12700ME">'Parametros Gerais'!$C$148</definedName>
    <definedName name="EBEQ251500BE">'Parametros Gerais'!$C$162</definedName>
    <definedName name="EBEQ251500DE">'Parametros Gerais'!$C$163</definedName>
    <definedName name="EBEQ251500ME">'Parametros Gerais'!$C$161</definedName>
    <definedName name="EBEQ25400BE">'Parametros Gerais'!$C$156</definedName>
    <definedName name="EBEQ25400DE">'Parametros Gerais'!$C$157</definedName>
    <definedName name="EBEQ25400ME">'Parametros Gerais'!$C$155</definedName>
    <definedName name="EBEQ25700BE">'Parametros Gerais'!$C$159</definedName>
    <definedName name="EBEQ25700DE">'Parametros Gerais'!$C$160</definedName>
    <definedName name="EBEQ25700ME">'Parametros Gerais'!$C$158</definedName>
    <definedName name="EBSS400H10ME">'Parametros Gerais'!$C$116</definedName>
    <definedName name="Efcb">Entradas!$C$83</definedName>
    <definedName name="Efcell">Entradas!$C$85</definedName>
    <definedName name="Efdb">Entradas!$C$84</definedName>
    <definedName name="Efslat">Entradas!$C$28</definedName>
    <definedName name="Efsmnx">Entradas!$C$18</definedName>
    <definedName name="Efsmsx">Entradas!$C$14</definedName>
    <definedName name="Efte">Entradas!$C$92</definedName>
    <definedName name="ER">'Parametros Gerais'!$C$20</definedName>
    <definedName name="ESHT">Entradas!$C$60</definedName>
    <definedName name="Fmp">Entradas!$C$50</definedName>
    <definedName name="FReB">Entradas!$C$93</definedName>
    <definedName name="Fvm">'Parametros Gerais'!$C$30</definedName>
    <definedName name="g0">'Parametros Gerais'!$C$19</definedName>
    <definedName name="Isp" localSheetId="2">Entradas!$C$44</definedName>
    <definedName name="Isp">Entradas!$C$44</definedName>
    <definedName name="m">Entradas!$C$8</definedName>
    <definedName name="Mdb">Entradas!$C$90</definedName>
    <definedName name="Mdps">Entradas!$C$91</definedName>
    <definedName name="MdW">Entradas!$C$52</definedName>
    <definedName name="MEmnx">Entradas!$C$17</definedName>
    <definedName name="MEmny">Entradas!$C$23</definedName>
    <definedName name="MEmnz">Entradas!$C$27</definedName>
    <definedName name="MEmsx">Entradas!$C$13</definedName>
    <definedName name="MEmsy">Entradas!$C$21</definedName>
    <definedName name="MEmsz">Entradas!$C$25</definedName>
    <definedName name="MEsi">Entradas!$C$31</definedName>
    <definedName name="MESSO1500H10">'Parametros Gerais'!$C$128</definedName>
    <definedName name="MESSO1500H12">'Parametros Gerais'!$C$131</definedName>
    <definedName name="MESSO400H12">'Parametros Gerais'!$C$119</definedName>
    <definedName name="MESSO700H10">'Parametros Gerais'!$C$122</definedName>
    <definedName name="MESSO700H12">'Parametros Gerais'!$C$125</definedName>
    <definedName name="Misi">Entradas!$C$30</definedName>
    <definedName name="mp">Entradas!$C$9</definedName>
    <definedName name="MPmnx">Entradas!$C$16</definedName>
    <definedName name="MPmny">Entradas!$C$22</definedName>
    <definedName name="MPmnz">Entradas!$C$26</definedName>
    <definedName name="MPmsx">Entradas!$C$12</definedName>
    <definedName name="MPmsy">Entradas!$C$20</definedName>
    <definedName name="MPmsz">Entradas!$C$24</definedName>
    <definedName name="NodW">Entradas!$C$51</definedName>
    <definedName name="NomPlat">Entradas!$C$140</definedName>
    <definedName name="OcEQU01500">Entradas!$C$120</definedName>
    <definedName name="OcEQU0400">Entradas!$C$118</definedName>
    <definedName name="OcEQU0700">Entradas!$C$119</definedName>
    <definedName name="OcEQU121500">Entradas!$C$123</definedName>
    <definedName name="OcEQU12400">Entradas!$C$121</definedName>
    <definedName name="OcEQU12700">Entradas!$C$122</definedName>
    <definedName name="OcEQU251500">Entradas!$C$126</definedName>
    <definedName name="OcEQU25400">Entradas!$C$124</definedName>
    <definedName name="OcEQU25700">Entradas!$C$125</definedName>
    <definedName name="OcSSO10H1500">Entradas!$C$129</definedName>
    <definedName name="OcSSO10H400">Entradas!$C$127</definedName>
    <definedName name="OcSSO10H700">Entradas!$C$128</definedName>
    <definedName name="OcSSO12H1500">Entradas!$C$132</definedName>
    <definedName name="OcSSO12H400">Entradas!$C$130</definedName>
    <definedName name="OcSSO12H700">Entradas!$C$131</definedName>
    <definedName name="Orbalta">Entradas!$C$142</definedName>
    <definedName name="Orbbaix">Entradas!$C$141</definedName>
    <definedName name="Pmax">Entradas!$C$82</definedName>
    <definedName name="PSHT">Entradas!$C$59</definedName>
    <definedName name="PSLVAlg">'Parametros Gerais'!$C$168</definedName>
    <definedName name="PSLVAlt">'Parametros Gerais'!$C$169</definedName>
    <definedName name="PSLVc">Entradas!$C$34</definedName>
    <definedName name="PSLVf1m">'Parametros Gerais'!$C$170</definedName>
    <definedName name="Qbat">Entradas!$C$48</definedName>
    <definedName name="QcAdg">Entradas!$C$115</definedName>
    <definedName name="QcAdm">Entradas!$C$114</definedName>
    <definedName name="QcAdp">Entradas!$C$113</definedName>
    <definedName name="QcDPg">Entradas!$C$107</definedName>
    <definedName name="QcDPm">Entradas!$C$106</definedName>
    <definedName name="QcDPp">Entradas!$C$105</definedName>
    <definedName name="Qe">Entradas!$C$11</definedName>
    <definedName name="Qrwh">Entradas!$C$53</definedName>
    <definedName name="Qtanks">Entradas!$C$49</definedName>
    <definedName name="Qtrods">Entradas!$C$54</definedName>
    <definedName name="R_1500">'Parametros Gerais'!$C$6</definedName>
    <definedName name="R_1500_14">'Parametros Gerais'!$C$12</definedName>
    <definedName name="R_1500_20">'Parametros Gerais'!$C$15</definedName>
    <definedName name="R_1500_26">'Parametros Gerais'!$C$18</definedName>
    <definedName name="R_1500_8">'Parametros Gerais'!$C$9</definedName>
    <definedName name="R_400">'Parametros Gerais'!$C$4</definedName>
    <definedName name="R_400_14">'Parametros Gerais'!$C$10</definedName>
    <definedName name="R_400_20">'Parametros Gerais'!$C$13</definedName>
    <definedName name="R_400_26">'Parametros Gerais'!$C$16</definedName>
    <definedName name="R_400_8">'Parametros Gerais'!$C$7</definedName>
    <definedName name="R_700">'Parametros Gerais'!$C$5</definedName>
    <definedName name="R_700_14">'Parametros Gerais'!$C$11</definedName>
    <definedName name="R_700_20">'Parametros Gerais'!$C$14</definedName>
    <definedName name="R_700_26">'Parametros Gerais'!$C$17</definedName>
    <definedName name="R_700_8">'Parametros Gerais'!$C$8</definedName>
    <definedName name="RockotAlg">'Parametros Gerais'!$C$171</definedName>
    <definedName name="RockotAlt">'Parametros Gerais'!$C$172</definedName>
    <definedName name="Rockotc">Entradas!$C$35</definedName>
    <definedName name="Rockotf1m">'Parametros Gerais'!$C$173</definedName>
    <definedName name="RRHT">Entradas!$C$56</definedName>
    <definedName name="Sadaspre">Entradas!$C$139</definedName>
    <definedName name="Scte">'Parametros Gerais'!$C$21</definedName>
    <definedName name="SegDia">'Parametros Gerais'!$C$22</definedName>
    <definedName name="Sh">'Parametros Gerais'!$C$23</definedName>
    <definedName name="T_1500">'Parametros Gerais'!$C$26</definedName>
    <definedName name="T_400">'Parametros Gerais'!$C$24</definedName>
    <definedName name="T_700">'Parametros Gerais'!$C$25</definedName>
    <definedName name="tatm">Entradas!$C$6</definedName>
    <definedName name="TaurusAlg">'Parametros Gerais'!$C$46</definedName>
    <definedName name="TaurusAlt">'Parametros Gerais'!$C$175</definedName>
    <definedName name="Taurusc">Entradas!$C$36</definedName>
    <definedName name="Taurusf1m">'Parametros Gerais'!$C$176</definedName>
    <definedName name="TIDbcx">Entradas!$C$98</definedName>
    <definedName name="TIDbcxa">Entradas!$C$99</definedName>
    <definedName name="TIDbfs">Entradas!$C$97</definedName>
    <definedName name="TIDEqAd">Entradas!$C$95</definedName>
    <definedName name="TIDMg">Entradas!$C$96</definedName>
    <definedName name="TIDQT">Entradas!$C$94</definedName>
    <definedName name="TQHT">Entradas!$C$55</definedName>
    <definedName name="u">'Parametros Gerais'!$C$2</definedName>
    <definedName name="VegaAlg">'Parametros Gerais'!$C$177</definedName>
    <definedName name="VegaAlt">'Parametros Gerais'!$C$178</definedName>
    <definedName name="Vegac">Entradas!$C$37</definedName>
    <definedName name="Vegaf1m">'Parametros Gerais'!$C$179</definedName>
    <definedName name="Vmin">Entradas!$C$89</definedName>
    <definedName name="Vu">Entradas!$C$47</definedName>
    <definedName name="Xcm">Entradas!$C$67</definedName>
    <definedName name="Xcp">Entradas!$C$71</definedName>
    <definedName name="Xcpmy">Entradas!$C$79</definedName>
    <definedName name="Xcpy">Entradas!$C$75</definedName>
    <definedName name="Ycm">Entradas!$C$68</definedName>
    <definedName name="Ycp">Entradas!$C$72</definedName>
    <definedName name="Ycpmy">Entradas!$C$80</definedName>
    <definedName name="Ycpy">Entradas!$C$76</definedName>
    <definedName name="Zcm">Entradas!$C$69</definedName>
    <definedName name="Zcp">Entradas!$C$73</definedName>
    <definedName name="Zcpmy">Entradas!$C$81</definedName>
    <definedName name="Zcpy">Entradas!$C$77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" i="3"/>
  <c r="C27"/>
  <c r="C37" i="12"/>
  <c r="C23"/>
  <c r="C41" i="1"/>
  <c r="C9" i="12"/>
  <c r="D11"/>
  <c r="C67" i="1"/>
  <c r="C71"/>
  <c r="D9" i="12"/>
  <c r="C24" i="3"/>
  <c r="E10" i="12"/>
  <c r="D25"/>
  <c r="D23"/>
  <c r="E24"/>
  <c r="D39"/>
  <c r="D37"/>
  <c r="E38"/>
  <c r="F38"/>
  <c r="G38"/>
  <c r="L26" i="7"/>
  <c r="C27"/>
  <c r="M26"/>
  <c r="C25"/>
  <c r="O26"/>
  <c r="D10" i="12"/>
  <c r="E11"/>
  <c r="C76" i="1"/>
  <c r="D24" i="12"/>
  <c r="E25"/>
  <c r="C80" i="1"/>
  <c r="D38" i="12"/>
  <c r="E39"/>
  <c r="F39"/>
  <c r="G39"/>
  <c r="L27" i="7"/>
  <c r="C26"/>
  <c r="M27"/>
  <c r="N27"/>
  <c r="F20" i="9"/>
  <c r="F21"/>
  <c r="F22"/>
  <c r="G23"/>
  <c r="F23"/>
  <c r="E9" i="12"/>
  <c r="E23"/>
  <c r="E37"/>
  <c r="F37"/>
  <c r="G37"/>
  <c r="L25" i="7"/>
  <c r="N25"/>
  <c r="O25"/>
  <c r="E115"/>
  <c r="C5" i="3"/>
  <c r="C28"/>
  <c r="C41" i="12"/>
  <c r="C27"/>
  <c r="C13"/>
  <c r="D15"/>
  <c r="D13"/>
  <c r="C25" i="3"/>
  <c r="E14" i="12"/>
  <c r="D29"/>
  <c r="D27"/>
  <c r="E28"/>
  <c r="D43"/>
  <c r="D41"/>
  <c r="E42"/>
  <c r="F42"/>
  <c r="G42"/>
  <c r="L30" i="7"/>
  <c r="C31"/>
  <c r="M30"/>
  <c r="C29"/>
  <c r="O30"/>
  <c r="D14" i="12"/>
  <c r="E15"/>
  <c r="D28"/>
  <c r="E29"/>
  <c r="D42"/>
  <c r="E43"/>
  <c r="F43"/>
  <c r="G43"/>
  <c r="L31" i="7"/>
  <c r="C30"/>
  <c r="M31"/>
  <c r="N31"/>
  <c r="E13" i="12"/>
  <c r="E27"/>
  <c r="E41"/>
  <c r="F41"/>
  <c r="G41"/>
  <c r="L29" i="7"/>
  <c r="N29"/>
  <c r="O29"/>
  <c r="F115"/>
  <c r="C6" i="3"/>
  <c r="C29"/>
  <c r="C45" i="12"/>
  <c r="C31"/>
  <c r="C17"/>
  <c r="D19"/>
  <c r="D17"/>
  <c r="C26" i="3"/>
  <c r="E18" i="12"/>
  <c r="D33"/>
  <c r="D31"/>
  <c r="E32"/>
  <c r="D47"/>
  <c r="D45"/>
  <c r="E46"/>
  <c r="F46"/>
  <c r="G46"/>
  <c r="L34" i="7"/>
  <c r="C35"/>
  <c r="M34"/>
  <c r="C33"/>
  <c r="O34"/>
  <c r="D18" i="12"/>
  <c r="E19"/>
  <c r="D32"/>
  <c r="E33"/>
  <c r="D46"/>
  <c r="E47"/>
  <c r="F47"/>
  <c r="G47"/>
  <c r="L35" i="7"/>
  <c r="C34"/>
  <c r="M35"/>
  <c r="N35"/>
  <c r="E17" i="12"/>
  <c r="E31"/>
  <c r="E45"/>
  <c r="F45"/>
  <c r="G45"/>
  <c r="L33" i="7"/>
  <c r="N33"/>
  <c r="O33"/>
  <c r="G115"/>
  <c r="H112"/>
  <c r="H115"/>
  <c r="I112"/>
  <c r="I115"/>
  <c r="L56"/>
  <c r="C57"/>
  <c r="M56"/>
  <c r="C55"/>
  <c r="O56"/>
  <c r="L57"/>
  <c r="C56"/>
  <c r="M57"/>
  <c r="N57"/>
  <c r="L55"/>
  <c r="N55"/>
  <c r="O55"/>
  <c r="E117"/>
  <c r="L60"/>
  <c r="C61"/>
  <c r="M60"/>
  <c r="C59"/>
  <c r="O60"/>
  <c r="L61"/>
  <c r="C60"/>
  <c r="M61"/>
  <c r="N61"/>
  <c r="L59"/>
  <c r="N59"/>
  <c r="O59"/>
  <c r="F117"/>
  <c r="L64"/>
  <c r="C65"/>
  <c r="M64"/>
  <c r="C63"/>
  <c r="O64"/>
  <c r="L65"/>
  <c r="C64"/>
  <c r="M65"/>
  <c r="N65"/>
  <c r="L63"/>
  <c r="N63"/>
  <c r="O63"/>
  <c r="G117"/>
  <c r="H117"/>
  <c r="I117"/>
  <c r="L86"/>
  <c r="C87"/>
  <c r="M86"/>
  <c r="C85"/>
  <c r="O86"/>
  <c r="L87"/>
  <c r="C86"/>
  <c r="M87"/>
  <c r="N87"/>
  <c r="L85"/>
  <c r="N85"/>
  <c r="O85"/>
  <c r="E119"/>
  <c r="L90"/>
  <c r="C91"/>
  <c r="M90"/>
  <c r="C89"/>
  <c r="O90"/>
  <c r="L91"/>
  <c r="C90"/>
  <c r="M91"/>
  <c r="N91"/>
  <c r="L89"/>
  <c r="N89"/>
  <c r="O89"/>
  <c r="F119"/>
  <c r="L94"/>
  <c r="C95"/>
  <c r="M94"/>
  <c r="C93"/>
  <c r="O94"/>
  <c r="L95"/>
  <c r="C94"/>
  <c r="M95"/>
  <c r="N95"/>
  <c r="L93"/>
  <c r="N93"/>
  <c r="O93"/>
  <c r="G119"/>
  <c r="H119"/>
  <c r="I119"/>
  <c r="C43" i="1"/>
  <c r="C56" i="12"/>
  <c r="C42" i="1"/>
  <c r="C55" i="12"/>
  <c r="D55"/>
  <c r="D56"/>
  <c r="E54"/>
  <c r="D64"/>
  <c r="D65"/>
  <c r="E63"/>
  <c r="D74"/>
  <c r="D75"/>
  <c r="E73"/>
  <c r="F73"/>
  <c r="G73"/>
  <c r="H42" i="7"/>
  <c r="C44"/>
  <c r="J42"/>
  <c r="C43"/>
  <c r="K42"/>
  <c r="C73" i="12"/>
  <c r="C63"/>
  <c r="C54"/>
  <c r="D54"/>
  <c r="E55"/>
  <c r="D63"/>
  <c r="E64"/>
  <c r="D73"/>
  <c r="E74"/>
  <c r="F74"/>
  <c r="G74"/>
  <c r="H43" i="7"/>
  <c r="I43"/>
  <c r="C42"/>
  <c r="K43"/>
  <c r="E56" i="12"/>
  <c r="E65"/>
  <c r="E75"/>
  <c r="F75"/>
  <c r="G75"/>
  <c r="H44" i="7"/>
  <c r="I44"/>
  <c r="J44"/>
  <c r="F121"/>
  <c r="C60" i="12"/>
  <c r="C59"/>
  <c r="D59"/>
  <c r="D60"/>
  <c r="E58"/>
  <c r="D68"/>
  <c r="D69"/>
  <c r="E67"/>
  <c r="D78"/>
  <c r="D79"/>
  <c r="E77"/>
  <c r="F77"/>
  <c r="G77"/>
  <c r="H46" i="7"/>
  <c r="C48"/>
  <c r="J46"/>
  <c r="C47"/>
  <c r="K46"/>
  <c r="C77" i="12"/>
  <c r="C67"/>
  <c r="C58"/>
  <c r="D58"/>
  <c r="E59"/>
  <c r="D67"/>
  <c r="E68"/>
  <c r="D77"/>
  <c r="E78"/>
  <c r="F78"/>
  <c r="G78"/>
  <c r="H47" i="7"/>
  <c r="I47"/>
  <c r="C46"/>
  <c r="K47"/>
  <c r="E60" i="12"/>
  <c r="E69"/>
  <c r="E79"/>
  <c r="F79"/>
  <c r="G79"/>
  <c r="H48" i="7"/>
  <c r="I48"/>
  <c r="J48"/>
  <c r="G121"/>
  <c r="H121"/>
  <c r="I121"/>
  <c r="C86" i="12"/>
  <c r="C85"/>
  <c r="D85"/>
  <c r="D86"/>
  <c r="E84"/>
  <c r="D94"/>
  <c r="D95"/>
  <c r="E93"/>
  <c r="D104"/>
  <c r="D105"/>
  <c r="E103"/>
  <c r="F103"/>
  <c r="G103"/>
  <c r="H72" i="7"/>
  <c r="C74"/>
  <c r="J72"/>
  <c r="C73"/>
  <c r="K72"/>
  <c r="C103" i="12"/>
  <c r="C93"/>
  <c r="C84"/>
  <c r="D84"/>
  <c r="E85"/>
  <c r="D93"/>
  <c r="E94"/>
  <c r="D103"/>
  <c r="E104"/>
  <c r="F104"/>
  <c r="G104"/>
  <c r="H73" i="7"/>
  <c r="I73"/>
  <c r="C72"/>
  <c r="K73"/>
  <c r="E86" i="12"/>
  <c r="E95"/>
  <c r="E105"/>
  <c r="F105"/>
  <c r="G105"/>
  <c r="H74" i="7"/>
  <c r="I74"/>
  <c r="J74"/>
  <c r="F123"/>
  <c r="C90" i="12"/>
  <c r="C89"/>
  <c r="D89"/>
  <c r="D90"/>
  <c r="E88"/>
  <c r="D98"/>
  <c r="D99"/>
  <c r="E97"/>
  <c r="D108"/>
  <c r="D109"/>
  <c r="E107"/>
  <c r="F107"/>
  <c r="G107"/>
  <c r="H76" i="7"/>
  <c r="C78"/>
  <c r="J76"/>
  <c r="C77"/>
  <c r="K76"/>
  <c r="C107" i="12"/>
  <c r="C97"/>
  <c r="C88"/>
  <c r="D88"/>
  <c r="E89"/>
  <c r="D97"/>
  <c r="E98"/>
  <c r="D107"/>
  <c r="E108"/>
  <c r="F108"/>
  <c r="G108"/>
  <c r="H77" i="7"/>
  <c r="I77"/>
  <c r="C76"/>
  <c r="K77"/>
  <c r="E90" i="12"/>
  <c r="E99"/>
  <c r="E109"/>
  <c r="F109"/>
  <c r="G109"/>
  <c r="H78" i="7"/>
  <c r="I78"/>
  <c r="J78"/>
  <c r="G123"/>
  <c r="H123"/>
  <c r="I123"/>
  <c r="C116" i="12"/>
  <c r="C115"/>
  <c r="D115"/>
  <c r="D116"/>
  <c r="E114"/>
  <c r="D124"/>
  <c r="D125"/>
  <c r="E123"/>
  <c r="D134"/>
  <c r="D135"/>
  <c r="E133"/>
  <c r="F133"/>
  <c r="G133"/>
  <c r="H102" i="7"/>
  <c r="C104"/>
  <c r="J102"/>
  <c r="C103"/>
  <c r="K102"/>
  <c r="C133" i="12"/>
  <c r="C123"/>
  <c r="C114"/>
  <c r="D114"/>
  <c r="E115"/>
  <c r="D123"/>
  <c r="E124"/>
  <c r="D133"/>
  <c r="E134"/>
  <c r="F134"/>
  <c r="G134"/>
  <c r="H103" i="7"/>
  <c r="I103"/>
  <c r="C102"/>
  <c r="K103"/>
  <c r="E116" i="12"/>
  <c r="E125"/>
  <c r="E135"/>
  <c r="F135"/>
  <c r="G135"/>
  <c r="H104" i="7"/>
  <c r="I104"/>
  <c r="J104"/>
  <c r="F125"/>
  <c r="C120" i="12"/>
  <c r="C119"/>
  <c r="D119"/>
  <c r="D120"/>
  <c r="E118"/>
  <c r="D128"/>
  <c r="D129"/>
  <c r="E127"/>
  <c r="D138"/>
  <c r="D139"/>
  <c r="E137"/>
  <c r="F137"/>
  <c r="G137"/>
  <c r="H106" i="7"/>
  <c r="C108"/>
  <c r="J106"/>
  <c r="C107"/>
  <c r="K106"/>
  <c r="C137" i="12"/>
  <c r="C127"/>
  <c r="C118"/>
  <c r="D118"/>
  <c r="E119"/>
  <c r="D127"/>
  <c r="E128"/>
  <c r="D137"/>
  <c r="E138"/>
  <c r="F138"/>
  <c r="G138"/>
  <c r="H107" i="7"/>
  <c r="I107"/>
  <c r="C106"/>
  <c r="K107"/>
  <c r="E120" i="12"/>
  <c r="E129"/>
  <c r="E139"/>
  <c r="F139"/>
  <c r="G139"/>
  <c r="H108" i="7"/>
  <c r="I108"/>
  <c r="J108"/>
  <c r="G125"/>
  <c r="H125"/>
  <c r="I125"/>
  <c r="L8"/>
  <c r="C9"/>
  <c r="M8"/>
  <c r="C7"/>
  <c r="O8"/>
  <c r="L9"/>
  <c r="C8"/>
  <c r="M9"/>
  <c r="N9"/>
  <c r="L7"/>
  <c r="N7"/>
  <c r="O7"/>
  <c r="E127"/>
  <c r="L12"/>
  <c r="C13"/>
  <c r="M12"/>
  <c r="C11"/>
  <c r="O12"/>
  <c r="L13"/>
  <c r="C12"/>
  <c r="M13"/>
  <c r="N13"/>
  <c r="L11"/>
  <c r="N11"/>
  <c r="O11"/>
  <c r="F127"/>
  <c r="L16"/>
  <c r="C17"/>
  <c r="M16"/>
  <c r="C15"/>
  <c r="O16"/>
  <c r="L17"/>
  <c r="C16"/>
  <c r="M17"/>
  <c r="N17"/>
  <c r="L15"/>
  <c r="N15"/>
  <c r="O15"/>
  <c r="G127"/>
  <c r="H127"/>
  <c r="I127"/>
  <c r="E129"/>
  <c r="F129"/>
  <c r="G129"/>
  <c r="H129"/>
  <c r="I129"/>
  <c r="H114"/>
  <c r="I114"/>
  <c r="H116"/>
  <c r="I116"/>
  <c r="H118"/>
  <c r="I118"/>
  <c r="H120"/>
  <c r="I120"/>
  <c r="H122"/>
  <c r="I122"/>
  <c r="H124"/>
  <c r="I124"/>
  <c r="H126"/>
  <c r="I126"/>
  <c r="H128"/>
  <c r="I128"/>
  <c r="B130"/>
  <c r="H37" i="13"/>
  <c r="C4" i="1"/>
  <c r="C38"/>
  <c r="C8"/>
  <c r="C5"/>
  <c r="C3"/>
  <c r="C2"/>
  <c r="C22" i="3"/>
  <c r="D17" i="2"/>
  <c r="E17"/>
  <c r="F17"/>
  <c r="G17"/>
  <c r="H17"/>
  <c r="I17"/>
  <c r="D4" i="9"/>
  <c r="F4"/>
  <c r="D5"/>
  <c r="F5"/>
  <c r="D6"/>
  <c r="F6"/>
  <c r="G7"/>
  <c r="F7"/>
  <c r="E72" i="2"/>
  <c r="D18"/>
  <c r="E18"/>
  <c r="F18"/>
  <c r="G18"/>
  <c r="H18"/>
  <c r="I18"/>
  <c r="F72"/>
  <c r="D19"/>
  <c r="E19"/>
  <c r="F19"/>
  <c r="G19"/>
  <c r="H19"/>
  <c r="I19"/>
  <c r="G72"/>
  <c r="H69"/>
  <c r="H72"/>
  <c r="I69"/>
  <c r="I72"/>
  <c r="E74"/>
  <c r="F74"/>
  <c r="G74"/>
  <c r="H74"/>
  <c r="I74"/>
  <c r="E76"/>
  <c r="F76"/>
  <c r="G76"/>
  <c r="H76"/>
  <c r="I76"/>
  <c r="C34" i="3"/>
  <c r="C35"/>
  <c r="C36"/>
  <c r="D35" i="2"/>
  <c r="E35"/>
  <c r="F35"/>
  <c r="G35"/>
  <c r="H35"/>
  <c r="I35"/>
  <c r="F78"/>
  <c r="C37" i="3"/>
  <c r="C38"/>
  <c r="C39"/>
  <c r="D36" i="2"/>
  <c r="E36"/>
  <c r="F36"/>
  <c r="G36"/>
  <c r="H36"/>
  <c r="I36"/>
  <c r="G78"/>
  <c r="H78"/>
  <c r="I78"/>
  <c r="C41" i="3"/>
  <c r="C42"/>
  <c r="C43"/>
  <c r="D48" i="2"/>
  <c r="E48"/>
  <c r="F48"/>
  <c r="G48"/>
  <c r="H48"/>
  <c r="I48"/>
  <c r="F80"/>
  <c r="C44" i="3"/>
  <c r="C45"/>
  <c r="C46"/>
  <c r="D49" i="2"/>
  <c r="E49"/>
  <c r="F49"/>
  <c r="G49"/>
  <c r="H49"/>
  <c r="I49"/>
  <c r="G80"/>
  <c r="H80"/>
  <c r="I80"/>
  <c r="C48" i="3"/>
  <c r="C49"/>
  <c r="C50"/>
  <c r="D64" i="2"/>
  <c r="E64"/>
  <c r="F64"/>
  <c r="G64"/>
  <c r="H64"/>
  <c r="I64"/>
  <c r="F82"/>
  <c r="C51" i="3"/>
  <c r="C52"/>
  <c r="C53"/>
  <c r="D65" i="2"/>
  <c r="E65"/>
  <c r="F65"/>
  <c r="G65"/>
  <c r="H65"/>
  <c r="I65"/>
  <c r="G82"/>
  <c r="H82"/>
  <c r="I82"/>
  <c r="E84"/>
  <c r="F84"/>
  <c r="G84"/>
  <c r="H84"/>
  <c r="I84"/>
  <c r="E86"/>
  <c r="F86"/>
  <c r="G86"/>
  <c r="H86"/>
  <c r="I86"/>
  <c r="H71"/>
  <c r="I71"/>
  <c r="H73"/>
  <c r="I73"/>
  <c r="H75"/>
  <c r="I75"/>
  <c r="H77"/>
  <c r="I77"/>
  <c r="H79"/>
  <c r="I79"/>
  <c r="H81"/>
  <c r="I81"/>
  <c r="H83"/>
  <c r="I83"/>
  <c r="H85"/>
  <c r="I85"/>
  <c r="B87"/>
  <c r="H35" i="13"/>
  <c r="M21"/>
  <c r="L21"/>
  <c r="K21"/>
  <c r="J21"/>
  <c r="I21"/>
  <c r="H21"/>
  <c r="Q8"/>
  <c r="P8"/>
  <c r="O8"/>
  <c r="N8"/>
  <c r="M8"/>
  <c r="L8"/>
  <c r="K8"/>
  <c r="J8"/>
  <c r="I8"/>
  <c r="H8"/>
  <c r="G58" i="8"/>
  <c r="D58"/>
  <c r="D131" i="7"/>
  <c r="B131"/>
  <c r="G88" i="2"/>
  <c r="F162" i="12"/>
  <c r="D87" i="2"/>
  <c r="F87"/>
  <c r="H87"/>
  <c r="C92" i="1"/>
  <c r="C162" i="3"/>
  <c r="E32" i="8"/>
  <c r="G32"/>
  <c r="G40"/>
  <c r="E103" i="1"/>
  <c r="E102"/>
  <c r="E101"/>
  <c r="F120" i="12"/>
  <c r="G120"/>
  <c r="F119"/>
  <c r="G119"/>
  <c r="F118"/>
  <c r="G118"/>
  <c r="F116"/>
  <c r="G116"/>
  <c r="F115"/>
  <c r="G115"/>
  <c r="F114"/>
  <c r="G114"/>
  <c r="F90"/>
  <c r="G90"/>
  <c r="F89"/>
  <c r="G89"/>
  <c r="F88"/>
  <c r="G88"/>
  <c r="F86"/>
  <c r="G86"/>
  <c r="F85"/>
  <c r="G85"/>
  <c r="F84"/>
  <c r="G84"/>
  <c r="F60"/>
  <c r="G60"/>
  <c r="F59"/>
  <c r="G59"/>
  <c r="F58"/>
  <c r="G58"/>
  <c r="F56"/>
  <c r="G56"/>
  <c r="F55"/>
  <c r="G55"/>
  <c r="F54"/>
  <c r="G54"/>
  <c r="F12" i="9"/>
  <c r="F13"/>
  <c r="F14"/>
  <c r="G15"/>
  <c r="F15"/>
  <c r="E146" i="12"/>
  <c r="F146"/>
  <c r="G146"/>
  <c r="H143"/>
  <c r="H146"/>
  <c r="I143"/>
  <c r="I146"/>
  <c r="E148"/>
  <c r="F148"/>
  <c r="G148"/>
  <c r="H148"/>
  <c r="I148"/>
  <c r="E150"/>
  <c r="F150"/>
  <c r="G150"/>
  <c r="H150"/>
  <c r="I150"/>
  <c r="F152"/>
  <c r="G152"/>
  <c r="H152"/>
  <c r="I152"/>
  <c r="F154"/>
  <c r="G154"/>
  <c r="H154"/>
  <c r="I154"/>
  <c r="F156"/>
  <c r="G156"/>
  <c r="H156"/>
  <c r="I156"/>
  <c r="E158"/>
  <c r="F158"/>
  <c r="G158"/>
  <c r="H158"/>
  <c r="I158"/>
  <c r="E160"/>
  <c r="F160"/>
  <c r="G160"/>
  <c r="H160"/>
  <c r="I160"/>
  <c r="H145"/>
  <c r="I145"/>
  <c r="H147"/>
  <c r="I147"/>
  <c r="H149"/>
  <c r="I149"/>
  <c r="H151"/>
  <c r="I151"/>
  <c r="H153"/>
  <c r="I153"/>
  <c r="H155"/>
  <c r="I155"/>
  <c r="H157"/>
  <c r="I157"/>
  <c r="H159"/>
  <c r="I159"/>
  <c r="B161"/>
  <c r="H36" i="13"/>
  <c r="C49" i="10"/>
  <c r="D49"/>
  <c r="B83"/>
  <c r="B97"/>
  <c r="B120"/>
  <c r="B121"/>
  <c r="B122"/>
  <c r="B7" i="11"/>
  <c r="C101" i="1"/>
  <c r="B16" i="11"/>
  <c r="C102" i="1"/>
  <c r="B17" i="11"/>
  <c r="C103" i="1"/>
  <c r="B18" i="11"/>
  <c r="B19"/>
  <c r="B126" i="10"/>
  <c r="B127"/>
  <c r="B128"/>
  <c r="B11" i="11"/>
  <c r="C109" i="1"/>
  <c r="B21" i="11"/>
  <c r="C110" i="1"/>
  <c r="B22" i="11"/>
  <c r="C111" i="1"/>
  <c r="B23" i="11"/>
  <c r="B24"/>
  <c r="C30"/>
  <c r="C83" i="10"/>
  <c r="C97"/>
  <c r="C120"/>
  <c r="C121"/>
  <c r="C122"/>
  <c r="C7" i="11"/>
  <c r="C16"/>
  <c r="C17"/>
  <c r="C18"/>
  <c r="C19"/>
  <c r="C126" i="10"/>
  <c r="C127"/>
  <c r="C128"/>
  <c r="C11" i="11"/>
  <c r="C21"/>
  <c r="C22"/>
  <c r="C23"/>
  <c r="C24"/>
  <c r="D30"/>
  <c r="E49" i="10"/>
  <c r="F49"/>
  <c r="G49"/>
  <c r="D83"/>
  <c r="D97"/>
  <c r="D120"/>
  <c r="D121"/>
  <c r="D122"/>
  <c r="D7" i="11"/>
  <c r="D16"/>
  <c r="D17"/>
  <c r="D18"/>
  <c r="D19"/>
  <c r="D126" i="10"/>
  <c r="D127"/>
  <c r="D128"/>
  <c r="D11" i="11"/>
  <c r="D21"/>
  <c r="D22"/>
  <c r="D23"/>
  <c r="D24"/>
  <c r="C31"/>
  <c r="E83" i="10"/>
  <c r="E97"/>
  <c r="E120"/>
  <c r="E121"/>
  <c r="E122"/>
  <c r="E7" i="11"/>
  <c r="E16"/>
  <c r="E17"/>
  <c r="E18"/>
  <c r="E19"/>
  <c r="E126" i="10"/>
  <c r="E127"/>
  <c r="E128"/>
  <c r="E11" i="11"/>
  <c r="E21"/>
  <c r="E22"/>
  <c r="E23"/>
  <c r="E24"/>
  <c r="D31"/>
  <c r="H49" i="10"/>
  <c r="I49"/>
  <c r="J49"/>
  <c r="F83"/>
  <c r="F97"/>
  <c r="F120"/>
  <c r="F121"/>
  <c r="F122"/>
  <c r="F7" i="11"/>
  <c r="F16"/>
  <c r="F17"/>
  <c r="F18"/>
  <c r="F19"/>
  <c r="F126" i="10"/>
  <c r="F127"/>
  <c r="F128"/>
  <c r="F11" i="11"/>
  <c r="F21"/>
  <c r="F22"/>
  <c r="F23"/>
  <c r="F24"/>
  <c r="C32"/>
  <c r="G83" i="10"/>
  <c r="G97"/>
  <c r="G120"/>
  <c r="G121"/>
  <c r="H36"/>
  <c r="I36"/>
  <c r="J36"/>
  <c r="G84"/>
  <c r="H37"/>
  <c r="I37"/>
  <c r="J37"/>
  <c r="G85"/>
  <c r="H38"/>
  <c r="I38"/>
  <c r="J38"/>
  <c r="G86"/>
  <c r="H39"/>
  <c r="I39"/>
  <c r="J39"/>
  <c r="G87"/>
  <c r="H40"/>
  <c r="I40"/>
  <c r="J40"/>
  <c r="G88"/>
  <c r="H41"/>
  <c r="I41"/>
  <c r="J41"/>
  <c r="G89"/>
  <c r="H42"/>
  <c r="I42"/>
  <c r="J42"/>
  <c r="G90"/>
  <c r="H43"/>
  <c r="I43"/>
  <c r="J43"/>
  <c r="G91"/>
  <c r="H44"/>
  <c r="I44"/>
  <c r="J44"/>
  <c r="G92"/>
  <c r="H45"/>
  <c r="I45"/>
  <c r="J45"/>
  <c r="G93"/>
  <c r="H46"/>
  <c r="I46"/>
  <c r="J46"/>
  <c r="G94"/>
  <c r="H47"/>
  <c r="I47"/>
  <c r="J47"/>
  <c r="G95"/>
  <c r="H48"/>
  <c r="I48"/>
  <c r="J48"/>
  <c r="G96"/>
  <c r="H50"/>
  <c r="I50"/>
  <c r="J50"/>
  <c r="G98"/>
  <c r="H51"/>
  <c r="I51"/>
  <c r="J51"/>
  <c r="G99"/>
  <c r="H52"/>
  <c r="I52"/>
  <c r="J52"/>
  <c r="G100"/>
  <c r="H53"/>
  <c r="I53"/>
  <c r="J53"/>
  <c r="G101"/>
  <c r="H54"/>
  <c r="I54"/>
  <c r="J54"/>
  <c r="G102"/>
  <c r="H55"/>
  <c r="I55"/>
  <c r="J55"/>
  <c r="G103"/>
  <c r="H56"/>
  <c r="I56"/>
  <c r="J56"/>
  <c r="G104"/>
  <c r="H57"/>
  <c r="I57"/>
  <c r="J57"/>
  <c r="G105"/>
  <c r="H58"/>
  <c r="I58"/>
  <c r="J58"/>
  <c r="G106"/>
  <c r="H59"/>
  <c r="I59"/>
  <c r="J59"/>
  <c r="G107"/>
  <c r="H60"/>
  <c r="I60"/>
  <c r="J60"/>
  <c r="G108"/>
  <c r="G122"/>
  <c r="G7" i="11"/>
  <c r="G16"/>
  <c r="G17"/>
  <c r="G18"/>
  <c r="G19"/>
  <c r="G126" i="10"/>
  <c r="G127"/>
  <c r="G128"/>
  <c r="G11" i="11"/>
  <c r="G21"/>
  <c r="G22"/>
  <c r="G23"/>
  <c r="G24"/>
  <c r="D32"/>
  <c r="K49" i="10"/>
  <c r="L49"/>
  <c r="M49"/>
  <c r="H83"/>
  <c r="H97"/>
  <c r="H120"/>
  <c r="H121"/>
  <c r="H122"/>
  <c r="H7" i="11"/>
  <c r="H16"/>
  <c r="H17"/>
  <c r="H18"/>
  <c r="H19"/>
  <c r="H126" i="10"/>
  <c r="H127"/>
  <c r="H128"/>
  <c r="H11" i="11"/>
  <c r="H21"/>
  <c r="H22"/>
  <c r="H23"/>
  <c r="H24"/>
  <c r="C33"/>
  <c r="I83" i="10"/>
  <c r="I97"/>
  <c r="I120"/>
  <c r="I121"/>
  <c r="K36"/>
  <c r="L36"/>
  <c r="M36"/>
  <c r="I84"/>
  <c r="K37"/>
  <c r="L37"/>
  <c r="M37"/>
  <c r="I85"/>
  <c r="K38"/>
  <c r="L38"/>
  <c r="M38"/>
  <c r="I86"/>
  <c r="K39"/>
  <c r="L39"/>
  <c r="M39"/>
  <c r="I87"/>
  <c r="K40"/>
  <c r="L40"/>
  <c r="M40"/>
  <c r="I88"/>
  <c r="K41"/>
  <c r="L41"/>
  <c r="M41"/>
  <c r="I89"/>
  <c r="K42"/>
  <c r="L42"/>
  <c r="M42"/>
  <c r="I90"/>
  <c r="K43"/>
  <c r="L43"/>
  <c r="M43"/>
  <c r="I91"/>
  <c r="K44"/>
  <c r="L44"/>
  <c r="M44"/>
  <c r="I92"/>
  <c r="K45"/>
  <c r="L45"/>
  <c r="M45"/>
  <c r="I93"/>
  <c r="K46"/>
  <c r="L46"/>
  <c r="M46"/>
  <c r="I94"/>
  <c r="K47"/>
  <c r="L47"/>
  <c r="M47"/>
  <c r="I95"/>
  <c r="K48"/>
  <c r="L48"/>
  <c r="M48"/>
  <c r="I96"/>
  <c r="K50"/>
  <c r="L50"/>
  <c r="M50"/>
  <c r="I98"/>
  <c r="K51"/>
  <c r="L51"/>
  <c r="M51"/>
  <c r="I99"/>
  <c r="K52"/>
  <c r="L52"/>
  <c r="M52"/>
  <c r="I100"/>
  <c r="K53"/>
  <c r="L53"/>
  <c r="M53"/>
  <c r="I101"/>
  <c r="K54"/>
  <c r="L54"/>
  <c r="M54"/>
  <c r="I102"/>
  <c r="K55"/>
  <c r="L55"/>
  <c r="M55"/>
  <c r="I103"/>
  <c r="K56"/>
  <c r="L56"/>
  <c r="M56"/>
  <c r="I104"/>
  <c r="K57"/>
  <c r="L57"/>
  <c r="M57"/>
  <c r="I105"/>
  <c r="K58"/>
  <c r="L58"/>
  <c r="M58"/>
  <c r="I106"/>
  <c r="K59"/>
  <c r="L59"/>
  <c r="M59"/>
  <c r="I107"/>
  <c r="K60"/>
  <c r="L60"/>
  <c r="M60"/>
  <c r="I108"/>
  <c r="I122"/>
  <c r="I7" i="11"/>
  <c r="I16"/>
  <c r="I17"/>
  <c r="I18"/>
  <c r="I19"/>
  <c r="I126" i="10"/>
  <c r="I127"/>
  <c r="I128"/>
  <c r="I11" i="11"/>
  <c r="I21"/>
  <c r="I22"/>
  <c r="I23"/>
  <c r="I24"/>
  <c r="D33"/>
  <c r="N49" i="10"/>
  <c r="O49"/>
  <c r="P49"/>
  <c r="J83"/>
  <c r="J97"/>
  <c r="J120"/>
  <c r="J121"/>
  <c r="J122"/>
  <c r="J7" i="11"/>
  <c r="J16"/>
  <c r="J17"/>
  <c r="J18"/>
  <c r="J19"/>
  <c r="J126" i="10"/>
  <c r="J127"/>
  <c r="J128"/>
  <c r="J11" i="11"/>
  <c r="J21"/>
  <c r="J22"/>
  <c r="J23"/>
  <c r="J24"/>
  <c r="C34"/>
  <c r="K83" i="10"/>
  <c r="K97"/>
  <c r="K120"/>
  <c r="K121"/>
  <c r="N36"/>
  <c r="O36"/>
  <c r="P36"/>
  <c r="K84"/>
  <c r="N37"/>
  <c r="O37"/>
  <c r="P37"/>
  <c r="K85"/>
  <c r="N38"/>
  <c r="O38"/>
  <c r="P38"/>
  <c r="K86"/>
  <c r="N39"/>
  <c r="O39"/>
  <c r="P39"/>
  <c r="K87"/>
  <c r="N40"/>
  <c r="O40"/>
  <c r="P40"/>
  <c r="K88"/>
  <c r="N41"/>
  <c r="O41"/>
  <c r="P41"/>
  <c r="K89"/>
  <c r="N42"/>
  <c r="O42"/>
  <c r="P42"/>
  <c r="K90"/>
  <c r="N43"/>
  <c r="O43"/>
  <c r="P43"/>
  <c r="K91"/>
  <c r="N44"/>
  <c r="O44"/>
  <c r="P44"/>
  <c r="K92"/>
  <c r="N45"/>
  <c r="O45"/>
  <c r="P45"/>
  <c r="K93"/>
  <c r="N46"/>
  <c r="O46"/>
  <c r="P46"/>
  <c r="K94"/>
  <c r="N47"/>
  <c r="O47"/>
  <c r="P47"/>
  <c r="K95"/>
  <c r="N48"/>
  <c r="O48"/>
  <c r="P48"/>
  <c r="K96"/>
  <c r="N50"/>
  <c r="O50"/>
  <c r="P50"/>
  <c r="K98"/>
  <c r="N51"/>
  <c r="O51"/>
  <c r="P51"/>
  <c r="K99"/>
  <c r="N52"/>
  <c r="O52"/>
  <c r="P52"/>
  <c r="K100"/>
  <c r="N53"/>
  <c r="O53"/>
  <c r="P53"/>
  <c r="K101"/>
  <c r="N54"/>
  <c r="O54"/>
  <c r="P54"/>
  <c r="K102"/>
  <c r="N55"/>
  <c r="O55"/>
  <c r="P55"/>
  <c r="K103"/>
  <c r="N56"/>
  <c r="O56"/>
  <c r="P56"/>
  <c r="K104"/>
  <c r="N57"/>
  <c r="O57"/>
  <c r="P57"/>
  <c r="K105"/>
  <c r="N58"/>
  <c r="O58"/>
  <c r="P58"/>
  <c r="K106"/>
  <c r="N59"/>
  <c r="O59"/>
  <c r="P59"/>
  <c r="K107"/>
  <c r="N60"/>
  <c r="O60"/>
  <c r="P60"/>
  <c r="K108"/>
  <c r="K122"/>
  <c r="K7" i="11"/>
  <c r="K16"/>
  <c r="K17"/>
  <c r="K18"/>
  <c r="K19"/>
  <c r="K126" i="10"/>
  <c r="K127"/>
  <c r="K128"/>
  <c r="K11" i="11"/>
  <c r="K21"/>
  <c r="K22"/>
  <c r="K23"/>
  <c r="K24"/>
  <c r="D34"/>
  <c r="B35"/>
  <c r="H40" i="13"/>
  <c r="H36" i="8"/>
  <c r="I19"/>
  <c r="K19"/>
  <c r="F41"/>
  <c r="I20"/>
  <c r="K20"/>
  <c r="G41"/>
  <c r="H41"/>
  <c r="C87" i="1"/>
  <c r="N41" i="8"/>
  <c r="E37" i="9"/>
  <c r="G37"/>
  <c r="G38"/>
  <c r="G39"/>
  <c r="J40"/>
  <c r="G40"/>
  <c r="H37"/>
  <c r="H40"/>
  <c r="I37"/>
  <c r="I40"/>
  <c r="P41" i="8"/>
  <c r="Q41"/>
  <c r="I36"/>
  <c r="I41"/>
  <c r="O41"/>
  <c r="R41"/>
  <c r="I25"/>
  <c r="K25"/>
  <c r="F42"/>
  <c r="I26"/>
  <c r="K26"/>
  <c r="G42"/>
  <c r="H42"/>
  <c r="N42"/>
  <c r="P42"/>
  <c r="Q42"/>
  <c r="I42"/>
  <c r="O42"/>
  <c r="R42"/>
  <c r="I31"/>
  <c r="K31"/>
  <c r="F43"/>
  <c r="I32"/>
  <c r="K32"/>
  <c r="G43"/>
  <c r="H43"/>
  <c r="N43"/>
  <c r="P43"/>
  <c r="Q43"/>
  <c r="I43"/>
  <c r="O43"/>
  <c r="R43"/>
  <c r="C136" i="3"/>
  <c r="E18" i="8"/>
  <c r="G18"/>
  <c r="E38"/>
  <c r="C139" i="3"/>
  <c r="E19" i="8"/>
  <c r="G19"/>
  <c r="F38"/>
  <c r="C142" i="3"/>
  <c r="E20" i="8"/>
  <c r="G20"/>
  <c r="G38"/>
  <c r="H38"/>
  <c r="N38"/>
  <c r="P38"/>
  <c r="Q38"/>
  <c r="I38"/>
  <c r="O38"/>
  <c r="R38"/>
  <c r="C146" i="3"/>
  <c r="E24" i="8"/>
  <c r="G24"/>
  <c r="E39"/>
  <c r="C149" i="3"/>
  <c r="E25" i="8"/>
  <c r="G25"/>
  <c r="F39"/>
  <c r="C152" i="3"/>
  <c r="E26" i="8"/>
  <c r="G26"/>
  <c r="G39"/>
  <c r="H39"/>
  <c r="N39"/>
  <c r="P39"/>
  <c r="Q39"/>
  <c r="I39"/>
  <c r="O39"/>
  <c r="R39"/>
  <c r="C156" i="3"/>
  <c r="E30" i="8"/>
  <c r="G30"/>
  <c r="E40"/>
  <c r="C159" i="3"/>
  <c r="E31" i="8"/>
  <c r="G31"/>
  <c r="F40"/>
  <c r="H40"/>
  <c r="N40"/>
  <c r="P40"/>
  <c r="Q40"/>
  <c r="I40"/>
  <c r="O40"/>
  <c r="R40"/>
  <c r="C117" i="3"/>
  <c r="E5" i="8"/>
  <c r="G5"/>
  <c r="E44"/>
  <c r="C123" i="3"/>
  <c r="E6" i="8"/>
  <c r="G6"/>
  <c r="F44"/>
  <c r="C129" i="3"/>
  <c r="E7" i="8"/>
  <c r="G7"/>
  <c r="G44"/>
  <c r="H44"/>
  <c r="N44"/>
  <c r="P44"/>
  <c r="Q44"/>
  <c r="I44"/>
  <c r="O44"/>
  <c r="R44"/>
  <c r="C120" i="3"/>
  <c r="E10" i="8"/>
  <c r="G10"/>
  <c r="E45"/>
  <c r="C126" i="3"/>
  <c r="E11" i="8"/>
  <c r="G11"/>
  <c r="F45"/>
  <c r="C132" i="3"/>
  <c r="E12" i="8"/>
  <c r="G12"/>
  <c r="G45"/>
  <c r="H45"/>
  <c r="N45"/>
  <c r="P45"/>
  <c r="Q45"/>
  <c r="I45"/>
  <c r="O45"/>
  <c r="R45"/>
  <c r="W41"/>
  <c r="X41"/>
  <c r="W42"/>
  <c r="X42"/>
  <c r="W43"/>
  <c r="X43"/>
  <c r="W38"/>
  <c r="X38"/>
  <c r="W39"/>
  <c r="X39"/>
  <c r="W40"/>
  <c r="X40"/>
  <c r="W44"/>
  <c r="X44"/>
  <c r="W45"/>
  <c r="X45"/>
  <c r="O46"/>
  <c r="H38" i="13"/>
  <c r="G50" i="8"/>
  <c r="G52"/>
  <c r="H50"/>
  <c r="H52"/>
  <c r="G53"/>
  <c r="H53"/>
  <c r="G54"/>
  <c r="H54"/>
  <c r="G55"/>
  <c r="H55"/>
  <c r="G56"/>
  <c r="H56"/>
  <c r="C57"/>
  <c r="H39" i="13"/>
  <c r="D5" i="14"/>
  <c r="H5"/>
  <c r="C39" i="1"/>
  <c r="D9" i="14"/>
  <c r="H9"/>
  <c r="D13"/>
  <c r="H13"/>
  <c r="D16"/>
  <c r="C10" i="1"/>
  <c r="H16" i="14"/>
  <c r="D14"/>
  <c r="H14"/>
  <c r="D17"/>
  <c r="H17"/>
  <c r="D29"/>
  <c r="H41" i="13"/>
  <c r="H42"/>
  <c r="I43"/>
  <c r="H9"/>
  <c r="H10"/>
  <c r="H13"/>
  <c r="H11"/>
  <c r="H12"/>
  <c r="E5" i="14"/>
  <c r="F5"/>
  <c r="G5"/>
  <c r="I5"/>
  <c r="E9"/>
  <c r="F9"/>
  <c r="G9"/>
  <c r="I9"/>
  <c r="E13"/>
  <c r="F13"/>
  <c r="G13"/>
  <c r="I13"/>
  <c r="E16"/>
  <c r="F16"/>
  <c r="G16"/>
  <c r="I16"/>
  <c r="G14"/>
  <c r="I14"/>
  <c r="G17"/>
  <c r="I17"/>
  <c r="D30"/>
  <c r="H14" i="13"/>
  <c r="H15"/>
  <c r="I9"/>
  <c r="I10"/>
  <c r="I13"/>
  <c r="I11"/>
  <c r="I12"/>
  <c r="I14"/>
  <c r="I15"/>
  <c r="J9"/>
  <c r="J10"/>
  <c r="J13"/>
  <c r="J11"/>
  <c r="J12"/>
  <c r="J14"/>
  <c r="J15"/>
  <c r="K9"/>
  <c r="K10"/>
  <c r="K13"/>
  <c r="K11"/>
  <c r="K12"/>
  <c r="K14"/>
  <c r="K15"/>
  <c r="L9"/>
  <c r="L10"/>
  <c r="L13"/>
  <c r="L11"/>
  <c r="L12"/>
  <c r="L14"/>
  <c r="L15"/>
  <c r="M9"/>
  <c r="M10"/>
  <c r="M13"/>
  <c r="M11"/>
  <c r="M12"/>
  <c r="M14"/>
  <c r="M15"/>
  <c r="N9"/>
  <c r="N10"/>
  <c r="N13"/>
  <c r="N11"/>
  <c r="N12"/>
  <c r="N14"/>
  <c r="N15"/>
  <c r="O9"/>
  <c r="O10"/>
  <c r="O13"/>
  <c r="O11"/>
  <c r="O12"/>
  <c r="O14"/>
  <c r="O15"/>
  <c r="P9"/>
  <c r="P10"/>
  <c r="P13"/>
  <c r="P11"/>
  <c r="P12"/>
  <c r="P14"/>
  <c r="P15"/>
  <c r="Q9"/>
  <c r="Q10"/>
  <c r="Q13"/>
  <c r="Q11"/>
  <c r="Q12"/>
  <c r="Q14"/>
  <c r="Q15"/>
  <c r="I30"/>
  <c r="H22"/>
  <c r="H23"/>
  <c r="H26"/>
  <c r="H24"/>
  <c r="H25"/>
  <c r="H27"/>
  <c r="H28"/>
  <c r="I22"/>
  <c r="I23"/>
  <c r="I26"/>
  <c r="I24"/>
  <c r="I25"/>
  <c r="I27"/>
  <c r="I28"/>
  <c r="J22"/>
  <c r="J23"/>
  <c r="J26"/>
  <c r="J24"/>
  <c r="J25"/>
  <c r="J27"/>
  <c r="J28"/>
  <c r="K22"/>
  <c r="K23"/>
  <c r="K26"/>
  <c r="K24"/>
  <c r="K25"/>
  <c r="K27"/>
  <c r="K28"/>
  <c r="L22"/>
  <c r="L23"/>
  <c r="L26"/>
  <c r="L24"/>
  <c r="L25"/>
  <c r="L27"/>
  <c r="L28"/>
  <c r="M22"/>
  <c r="M23"/>
  <c r="M26"/>
  <c r="M24"/>
  <c r="M25"/>
  <c r="M27"/>
  <c r="M28"/>
  <c r="I31"/>
  <c r="Q47" i="8"/>
  <c r="Q46"/>
  <c r="I32" i="13"/>
  <c r="I44"/>
  <c r="D22"/>
  <c r="D17"/>
  <c r="D24"/>
  <c r="D16"/>
  <c r="D23"/>
  <c r="G71" i="2"/>
  <c r="F71"/>
  <c r="E71"/>
  <c r="M20" i="13"/>
  <c r="L20"/>
  <c r="K20"/>
  <c r="J20"/>
  <c r="I20"/>
  <c r="H20"/>
  <c r="Q7"/>
  <c r="P7"/>
  <c r="N7"/>
  <c r="O7"/>
  <c r="M7"/>
  <c r="L7"/>
  <c r="K7"/>
  <c r="J7"/>
  <c r="I7"/>
  <c r="H7"/>
  <c r="D27" i="14"/>
  <c r="D26"/>
  <c r="D25"/>
  <c r="D24"/>
  <c r="D23"/>
  <c r="D22"/>
  <c r="B36" i="11"/>
  <c r="E22" i="14"/>
  <c r="E26"/>
  <c r="E27"/>
  <c r="E23"/>
  <c r="E24"/>
  <c r="E25"/>
  <c r="E28"/>
  <c r="K119" i="10"/>
  <c r="J119"/>
  <c r="I119"/>
  <c r="H119"/>
  <c r="G119"/>
  <c r="F119"/>
  <c r="E119"/>
  <c r="D119"/>
  <c r="C119"/>
  <c r="B119"/>
  <c r="K14" i="11"/>
  <c r="J14"/>
  <c r="I14"/>
  <c r="H14"/>
  <c r="G14"/>
  <c r="F14"/>
  <c r="E14"/>
  <c r="D14"/>
  <c r="C14"/>
  <c r="B14"/>
  <c r="K3"/>
  <c r="J3"/>
  <c r="I3"/>
  <c r="H3"/>
  <c r="G3"/>
  <c r="F3"/>
  <c r="E3"/>
  <c r="D3"/>
  <c r="C3"/>
  <c r="B3"/>
  <c r="X36" i="8"/>
  <c r="W36"/>
  <c r="V36"/>
  <c r="U36"/>
  <c r="T36"/>
  <c r="S36"/>
  <c r="R36"/>
  <c r="Q36"/>
  <c r="O36"/>
  <c r="N36"/>
  <c r="V45"/>
  <c r="U45"/>
  <c r="T45"/>
  <c r="S45"/>
  <c r="V44"/>
  <c r="U44"/>
  <c r="T44"/>
  <c r="S44"/>
  <c r="V43"/>
  <c r="U43"/>
  <c r="T43"/>
  <c r="S43"/>
  <c r="V42"/>
  <c r="U42"/>
  <c r="T42"/>
  <c r="S42"/>
  <c r="V41"/>
  <c r="U41"/>
  <c r="T41"/>
  <c r="S41"/>
  <c r="V40"/>
  <c r="U40"/>
  <c r="T40"/>
  <c r="S40"/>
  <c r="V39"/>
  <c r="U39"/>
  <c r="T39"/>
  <c r="S39"/>
  <c r="V38"/>
  <c r="U38"/>
  <c r="T38"/>
  <c r="S38"/>
  <c r="H131" i="7"/>
  <c r="G128"/>
  <c r="F128"/>
  <c r="E128"/>
  <c r="G126"/>
  <c r="F126"/>
  <c r="E126"/>
  <c r="G124"/>
  <c r="F124"/>
  <c r="G122"/>
  <c r="F122"/>
  <c r="G120"/>
  <c r="F120"/>
  <c r="G118"/>
  <c r="F118"/>
  <c r="E118"/>
  <c r="G116"/>
  <c r="F116"/>
  <c r="E116"/>
  <c r="G114"/>
  <c r="F114"/>
  <c r="E114"/>
  <c r="D162" i="12"/>
  <c r="D88" i="2"/>
  <c r="G149" i="12"/>
  <c r="G159"/>
  <c r="F159"/>
  <c r="E159"/>
  <c r="G157"/>
  <c r="F157"/>
  <c r="E157"/>
  <c r="G155"/>
  <c r="F155"/>
  <c r="G153"/>
  <c r="F153"/>
  <c r="G151"/>
  <c r="F151"/>
  <c r="F149"/>
  <c r="E149"/>
  <c r="G147"/>
  <c r="F147"/>
  <c r="E147"/>
  <c r="G145"/>
  <c r="F145"/>
  <c r="E145"/>
  <c r="G85" i="2"/>
  <c r="F85"/>
  <c r="E85"/>
  <c r="G83"/>
  <c r="F83"/>
  <c r="E83"/>
  <c r="G81"/>
  <c r="F81"/>
  <c r="G79"/>
  <c r="F79"/>
  <c r="G77"/>
  <c r="F77"/>
  <c r="G75"/>
  <c r="F75"/>
  <c r="E75"/>
  <c r="G73"/>
  <c r="F73"/>
  <c r="E73"/>
  <c r="D28" i="11"/>
  <c r="C28"/>
  <c r="C31" i="1"/>
  <c r="C17"/>
  <c r="D4" i="13"/>
  <c r="C40" i="1"/>
  <c r="C27"/>
  <c r="C25"/>
  <c r="C23"/>
  <c r="C21"/>
  <c r="C13"/>
  <c r="D21" i="12"/>
  <c r="G49" i="8"/>
  <c r="H142" i="12"/>
  <c r="D35"/>
  <c r="G6"/>
  <c r="F6"/>
  <c r="C27" i="11"/>
  <c r="H35" i="8"/>
  <c r="H111" i="7"/>
  <c r="H68" i="2"/>
  <c r="E57" i="8"/>
  <c r="G21" i="12"/>
  <c r="G57" i="8"/>
  <c r="I57"/>
  <c r="D11" i="13"/>
  <c r="G35" i="12"/>
  <c r="F30" i="9"/>
  <c r="F31"/>
  <c r="F29"/>
  <c r="C37" i="10"/>
  <c r="D37"/>
  <c r="E37"/>
  <c r="F37"/>
  <c r="G37"/>
  <c r="C38"/>
  <c r="D38"/>
  <c r="E38"/>
  <c r="F38"/>
  <c r="G38"/>
  <c r="C39"/>
  <c r="D39"/>
  <c r="E39"/>
  <c r="F39"/>
  <c r="G39"/>
  <c r="C40"/>
  <c r="D40"/>
  <c r="E40"/>
  <c r="F40"/>
  <c r="G40"/>
  <c r="C41"/>
  <c r="D41"/>
  <c r="E41"/>
  <c r="F41"/>
  <c r="G41"/>
  <c r="C42"/>
  <c r="D42"/>
  <c r="E42"/>
  <c r="F42"/>
  <c r="G42"/>
  <c r="C43"/>
  <c r="D43"/>
  <c r="E43"/>
  <c r="F43"/>
  <c r="G43"/>
  <c r="C44"/>
  <c r="D44"/>
  <c r="E44"/>
  <c r="F44"/>
  <c r="G44"/>
  <c r="C45"/>
  <c r="D45"/>
  <c r="E45"/>
  <c r="F45"/>
  <c r="G45"/>
  <c r="C46"/>
  <c r="D46"/>
  <c r="E46"/>
  <c r="F46"/>
  <c r="G46"/>
  <c r="C47"/>
  <c r="D47"/>
  <c r="E47"/>
  <c r="F47"/>
  <c r="G47"/>
  <c r="C48"/>
  <c r="D48"/>
  <c r="E48"/>
  <c r="F48"/>
  <c r="G48"/>
  <c r="C50"/>
  <c r="D50"/>
  <c r="E50"/>
  <c r="F50"/>
  <c r="G50"/>
  <c r="C51"/>
  <c r="D51"/>
  <c r="E51"/>
  <c r="F51"/>
  <c r="G51"/>
  <c r="C52"/>
  <c r="D52"/>
  <c r="E52"/>
  <c r="F52"/>
  <c r="G52"/>
  <c r="C53"/>
  <c r="D53"/>
  <c r="E53"/>
  <c r="F53"/>
  <c r="G53"/>
  <c r="C54"/>
  <c r="D54"/>
  <c r="E54"/>
  <c r="F54"/>
  <c r="G54"/>
  <c r="C55"/>
  <c r="D55"/>
  <c r="E55"/>
  <c r="F55"/>
  <c r="G55"/>
  <c r="C56"/>
  <c r="D56"/>
  <c r="E56"/>
  <c r="F56"/>
  <c r="G56"/>
  <c r="C57"/>
  <c r="D57"/>
  <c r="E57"/>
  <c r="F57"/>
  <c r="G57"/>
  <c r="C58"/>
  <c r="D58"/>
  <c r="E58"/>
  <c r="F58"/>
  <c r="G58"/>
  <c r="C59"/>
  <c r="D59"/>
  <c r="E59"/>
  <c r="F59"/>
  <c r="G59"/>
  <c r="C60"/>
  <c r="D60"/>
  <c r="E60"/>
  <c r="F60"/>
  <c r="G60"/>
  <c r="D61"/>
  <c r="G61"/>
  <c r="J61"/>
  <c r="M61"/>
  <c r="P61"/>
  <c r="D62"/>
  <c r="G62"/>
  <c r="J62"/>
  <c r="M62"/>
  <c r="P62"/>
  <c r="D63"/>
  <c r="G63"/>
  <c r="J63"/>
  <c r="M63"/>
  <c r="P63"/>
  <c r="D64"/>
  <c r="G64"/>
  <c r="J64"/>
  <c r="M64"/>
  <c r="P64"/>
  <c r="D65"/>
  <c r="G65"/>
  <c r="J65"/>
  <c r="M65"/>
  <c r="P65"/>
  <c r="D66"/>
  <c r="G66"/>
  <c r="J66"/>
  <c r="M66"/>
  <c r="P66"/>
  <c r="C36"/>
  <c r="D36"/>
  <c r="E36"/>
  <c r="F36"/>
  <c r="G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36"/>
  <c r="J84"/>
  <c r="F84"/>
  <c r="J108"/>
  <c r="F108"/>
  <c r="J107"/>
  <c r="F107"/>
  <c r="J106"/>
  <c r="F106"/>
  <c r="J105"/>
  <c r="F105"/>
  <c r="J104"/>
  <c r="F104"/>
  <c r="J103"/>
  <c r="F103"/>
  <c r="J102"/>
  <c r="F102"/>
  <c r="J101"/>
  <c r="F101"/>
  <c r="J100"/>
  <c r="F100"/>
  <c r="J99"/>
  <c r="F99"/>
  <c r="J98"/>
  <c r="F98"/>
  <c r="J96"/>
  <c r="F96"/>
  <c r="J95"/>
  <c r="F95"/>
  <c r="J94"/>
  <c r="F94"/>
  <c r="J93"/>
  <c r="F93"/>
  <c r="J92"/>
  <c r="F92"/>
  <c r="J91"/>
  <c r="F91"/>
  <c r="J90"/>
  <c r="F90"/>
  <c r="J89"/>
  <c r="F89"/>
  <c r="J88"/>
  <c r="F88"/>
  <c r="J87"/>
  <c r="F87"/>
  <c r="J86"/>
  <c r="F86"/>
  <c r="J85"/>
  <c r="F85"/>
  <c r="H84"/>
  <c r="H108"/>
  <c r="H107"/>
  <c r="H106"/>
  <c r="H105"/>
  <c r="H104"/>
  <c r="H103"/>
  <c r="H102"/>
  <c r="H101"/>
  <c r="H100"/>
  <c r="H99"/>
  <c r="H98"/>
  <c r="H96"/>
  <c r="H95"/>
  <c r="H94"/>
  <c r="H93"/>
  <c r="H92"/>
  <c r="H91"/>
  <c r="H90"/>
  <c r="H89"/>
  <c r="H88"/>
  <c r="H87"/>
  <c r="H86"/>
  <c r="H85"/>
  <c r="E84"/>
  <c r="D84"/>
  <c r="C84"/>
  <c r="B84"/>
  <c r="D108"/>
  <c r="E108"/>
  <c r="C108"/>
  <c r="B108"/>
  <c r="E107"/>
  <c r="D107"/>
  <c r="C107"/>
  <c r="B107"/>
  <c r="D106"/>
  <c r="E106"/>
  <c r="C106"/>
  <c r="B106"/>
  <c r="E105"/>
  <c r="D105"/>
  <c r="C105"/>
  <c r="B105"/>
  <c r="D104"/>
  <c r="E104"/>
  <c r="C104"/>
  <c r="B104"/>
  <c r="E103"/>
  <c r="D103"/>
  <c r="C103"/>
  <c r="B103"/>
  <c r="D102"/>
  <c r="E102"/>
  <c r="C102"/>
  <c r="B102"/>
  <c r="E101"/>
  <c r="D101"/>
  <c r="C101"/>
  <c r="B101"/>
  <c r="D100"/>
  <c r="E100"/>
  <c r="C100"/>
  <c r="B100"/>
  <c r="E99"/>
  <c r="D99"/>
  <c r="C99"/>
  <c r="B99"/>
  <c r="D98"/>
  <c r="E98"/>
  <c r="C98"/>
  <c r="B98"/>
  <c r="D96"/>
  <c r="E96"/>
  <c r="C96"/>
  <c r="B96"/>
  <c r="E95"/>
  <c r="D95"/>
  <c r="C95"/>
  <c r="B95"/>
  <c r="D94"/>
  <c r="E94"/>
  <c r="C94"/>
  <c r="B94"/>
  <c r="E93"/>
  <c r="D93"/>
  <c r="C93"/>
  <c r="B93"/>
  <c r="D92"/>
  <c r="E92"/>
  <c r="C92"/>
  <c r="B92"/>
  <c r="E91"/>
  <c r="D91"/>
  <c r="C91"/>
  <c r="B91"/>
  <c r="D90"/>
  <c r="E90"/>
  <c r="C90"/>
  <c r="B90"/>
  <c r="E89"/>
  <c r="D89"/>
  <c r="C89"/>
  <c r="B89"/>
  <c r="D88"/>
  <c r="E88"/>
  <c r="C88"/>
  <c r="B88"/>
  <c r="E87"/>
  <c r="D87"/>
  <c r="C87"/>
  <c r="B87"/>
  <c r="D86"/>
  <c r="E86"/>
  <c r="C86"/>
  <c r="B86"/>
  <c r="E85"/>
  <c r="D85"/>
  <c r="C85"/>
  <c r="B85"/>
  <c r="E9" i="11"/>
  <c r="H9"/>
  <c r="F9"/>
  <c r="J9"/>
  <c r="C9"/>
  <c r="D9"/>
  <c r="I9"/>
  <c r="G9"/>
  <c r="K9"/>
  <c r="B9"/>
  <c r="E5"/>
  <c r="H5"/>
  <c r="F5"/>
  <c r="J5"/>
  <c r="C5"/>
  <c r="D5"/>
  <c r="I5"/>
  <c r="G5"/>
  <c r="K5"/>
  <c r="B5"/>
  <c r="B6"/>
  <c r="G32" i="9"/>
  <c r="C23" i="3"/>
  <c r="K10" i="11"/>
  <c r="I10"/>
  <c r="G10"/>
  <c r="D10"/>
  <c r="J10"/>
  <c r="E10"/>
  <c r="C10"/>
  <c r="F10"/>
  <c r="H10"/>
  <c r="B10"/>
  <c r="K6"/>
  <c r="I6"/>
  <c r="D6"/>
  <c r="J6"/>
  <c r="H6"/>
  <c r="E6"/>
  <c r="G6"/>
  <c r="C6"/>
  <c r="F6"/>
  <c r="H32" i="8"/>
  <c r="J32"/>
  <c r="H26"/>
  <c r="J26"/>
  <c r="H20"/>
  <c r="J20"/>
  <c r="D32"/>
  <c r="F32"/>
  <c r="D30"/>
  <c r="F30"/>
  <c r="D25"/>
  <c r="F25"/>
  <c r="D20"/>
  <c r="F20"/>
  <c r="D18"/>
  <c r="F18"/>
  <c r="D11"/>
  <c r="F11"/>
  <c r="D7"/>
  <c r="F7"/>
  <c r="D5"/>
  <c r="F5"/>
  <c r="H31"/>
  <c r="J31"/>
  <c r="H25"/>
  <c r="J25"/>
  <c r="H19"/>
  <c r="J19"/>
  <c r="D31"/>
  <c r="F31"/>
  <c r="D26"/>
  <c r="F26"/>
  <c r="D24"/>
  <c r="F24"/>
  <c r="D19"/>
  <c r="F19"/>
  <c r="D12"/>
  <c r="F12"/>
  <c r="D10"/>
  <c r="F10"/>
  <c r="D6"/>
  <c r="F6"/>
  <c r="F32" i="9"/>
  <c r="D24" i="2"/>
  <c r="I53"/>
  <c r="H53"/>
  <c r="I24"/>
  <c r="H24"/>
  <c r="I5"/>
  <c r="H5"/>
  <c r="E60"/>
  <c r="E56"/>
  <c r="E44"/>
  <c r="E40"/>
  <c r="E31"/>
  <c r="E27"/>
  <c r="E13"/>
  <c r="E8"/>
  <c r="E7"/>
  <c r="E12"/>
  <c r="E61"/>
  <c r="E57"/>
  <c r="E45"/>
  <c r="E41"/>
  <c r="E32"/>
  <c r="E28"/>
  <c r="E14"/>
  <c r="E9"/>
  <c r="D56" i="8"/>
  <c r="E52"/>
  <c r="F53"/>
  <c r="F55"/>
  <c r="D52"/>
  <c r="E53"/>
  <c r="F54"/>
  <c r="E55"/>
  <c r="F56"/>
  <c r="D53"/>
  <c r="E54"/>
  <c r="D55"/>
  <c r="E56"/>
  <c r="F52"/>
  <c r="D54"/>
  <c r="C30" i="3"/>
  <c r="D12" i="2"/>
  <c r="D9"/>
  <c r="D8"/>
  <c r="D13"/>
  <c r="D7"/>
  <c r="D14"/>
  <c r="D31"/>
  <c r="D27"/>
  <c r="D41"/>
  <c r="D45"/>
  <c r="D32"/>
  <c r="D28"/>
  <c r="D40"/>
  <c r="D44"/>
  <c r="D61"/>
  <c r="D57"/>
  <c r="D60"/>
  <c r="D56"/>
  <c r="F27"/>
  <c r="F56"/>
  <c r="F8"/>
  <c r="F44"/>
  <c r="F14"/>
  <c r="F7"/>
  <c r="F13"/>
  <c r="F32"/>
  <c r="F41"/>
  <c r="F61"/>
  <c r="F12"/>
  <c r="F31"/>
  <c r="F40"/>
  <c r="F60"/>
  <c r="F9"/>
  <c r="F28"/>
  <c r="F45"/>
  <c r="F57"/>
  <c r="F17" i="12"/>
  <c r="G17"/>
  <c r="F127"/>
  <c r="G127"/>
  <c r="F97"/>
  <c r="G97"/>
  <c r="F67"/>
  <c r="G67"/>
  <c r="F31"/>
  <c r="G31"/>
  <c r="F98"/>
  <c r="G98"/>
  <c r="D77" i="7"/>
  <c r="F18" i="12"/>
  <c r="G18"/>
  <c r="F99"/>
  <c r="G99"/>
  <c r="D78" i="7"/>
  <c r="F19" i="12"/>
  <c r="G19"/>
  <c r="F128"/>
  <c r="G128"/>
  <c r="D107" i="7"/>
  <c r="F68" i="12"/>
  <c r="G68"/>
  <c r="D47" i="7"/>
  <c r="F129" i="12"/>
  <c r="G129"/>
  <c r="D108" i="7"/>
  <c r="F69" i="12"/>
  <c r="G69"/>
  <c r="D48" i="7"/>
  <c r="F9" i="12"/>
  <c r="G9"/>
  <c r="F11"/>
  <c r="G11"/>
  <c r="F10"/>
  <c r="G10"/>
  <c r="F13"/>
  <c r="G13"/>
  <c r="F93"/>
  <c r="G93"/>
  <c r="F63"/>
  <c r="G63"/>
  <c r="F123"/>
  <c r="G123"/>
  <c r="F15"/>
  <c r="G15"/>
  <c r="F125"/>
  <c r="G125"/>
  <c r="D104" i="7"/>
  <c r="F65" i="12"/>
  <c r="G65"/>
  <c r="D44" i="7"/>
  <c r="F14" i="12"/>
  <c r="G14"/>
  <c r="F124"/>
  <c r="G124"/>
  <c r="D103" i="7"/>
  <c r="F64" i="12"/>
  <c r="G64"/>
  <c r="D43" i="7"/>
  <c r="F94" i="12"/>
  <c r="G94"/>
  <c r="D73" i="7"/>
  <c r="F95" i="12"/>
  <c r="G95"/>
  <c r="D74" i="7"/>
  <c r="G56" i="2"/>
  <c r="E25" i="3"/>
  <c r="E24"/>
  <c r="G28" i="2"/>
  <c r="H28"/>
  <c r="I28"/>
  <c r="E26" i="3"/>
  <c r="G61" i="2"/>
  <c r="H61"/>
  <c r="I61"/>
  <c r="G40"/>
  <c r="H40"/>
  <c r="I40"/>
  <c r="G41"/>
  <c r="H41"/>
  <c r="I41"/>
  <c r="G44"/>
  <c r="H44"/>
  <c r="I44"/>
  <c r="G57"/>
  <c r="H57"/>
  <c r="I57"/>
  <c r="G31"/>
  <c r="G12"/>
  <c r="H12"/>
  <c r="I12"/>
  <c r="G7"/>
  <c r="H7"/>
  <c r="I7"/>
  <c r="G13"/>
  <c r="H13"/>
  <c r="I13"/>
  <c r="G27"/>
  <c r="H27"/>
  <c r="I27"/>
  <c r="G45"/>
  <c r="H45"/>
  <c r="I45"/>
  <c r="G9"/>
  <c r="H9"/>
  <c r="I9"/>
  <c r="G60"/>
  <c r="G32"/>
  <c r="H32"/>
  <c r="I32"/>
  <c r="G14"/>
  <c r="H14"/>
  <c r="I14"/>
  <c r="G8"/>
  <c r="H8"/>
  <c r="I8"/>
  <c r="D12" i="13"/>
  <c r="F32" i="12"/>
  <c r="G32"/>
  <c r="H94" i="7"/>
  <c r="D72"/>
  <c r="F72"/>
  <c r="D76"/>
  <c r="F76"/>
  <c r="D42"/>
  <c r="G42"/>
  <c r="D46"/>
  <c r="G46"/>
  <c r="D102"/>
  <c r="G102"/>
  <c r="D106"/>
  <c r="F106"/>
  <c r="F33" i="12"/>
  <c r="G33"/>
  <c r="H17" i="7"/>
  <c r="E74"/>
  <c r="F74"/>
  <c r="E44"/>
  <c r="F44"/>
  <c r="D85"/>
  <c r="D55"/>
  <c r="D25"/>
  <c r="D7"/>
  <c r="F108"/>
  <c r="E108"/>
  <c r="E78"/>
  <c r="F78"/>
  <c r="E73"/>
  <c r="G73"/>
  <c r="D90"/>
  <c r="D12"/>
  <c r="D30"/>
  <c r="D60"/>
  <c r="D9"/>
  <c r="D87"/>
  <c r="D57"/>
  <c r="D27"/>
  <c r="G47"/>
  <c r="E47"/>
  <c r="H93"/>
  <c r="H63"/>
  <c r="H33"/>
  <c r="H15"/>
  <c r="F24" i="12"/>
  <c r="G24"/>
  <c r="E103" i="7"/>
  <c r="G103"/>
  <c r="D31"/>
  <c r="D13"/>
  <c r="D91"/>
  <c r="D61"/>
  <c r="D89"/>
  <c r="D59"/>
  <c r="D29"/>
  <c r="D11"/>
  <c r="D56"/>
  <c r="D26"/>
  <c r="D8"/>
  <c r="D86"/>
  <c r="F48"/>
  <c r="E48"/>
  <c r="D95"/>
  <c r="D65"/>
  <c r="D35"/>
  <c r="D17"/>
  <c r="E77"/>
  <c r="G77"/>
  <c r="D63"/>
  <c r="D33"/>
  <c r="D15"/>
  <c r="D93"/>
  <c r="G43"/>
  <c r="E43"/>
  <c r="F104"/>
  <c r="E104"/>
  <c r="E107"/>
  <c r="G107"/>
  <c r="D94"/>
  <c r="D64"/>
  <c r="D34"/>
  <c r="D16"/>
  <c r="H31" i="2"/>
  <c r="I31"/>
  <c r="H56"/>
  <c r="I56"/>
  <c r="H60"/>
  <c r="I60"/>
  <c r="G106" i="7"/>
  <c r="G72"/>
  <c r="F102"/>
  <c r="H64"/>
  <c r="K64"/>
  <c r="F46"/>
  <c r="G76"/>
  <c r="F42"/>
  <c r="H65"/>
  <c r="J65"/>
  <c r="H95"/>
  <c r="J95"/>
  <c r="H16"/>
  <c r="K16"/>
  <c r="H34"/>
  <c r="K34"/>
  <c r="H35"/>
  <c r="I35"/>
  <c r="E34"/>
  <c r="G34"/>
  <c r="G15"/>
  <c r="F15"/>
  <c r="F35"/>
  <c r="E35"/>
  <c r="E8"/>
  <c r="G8"/>
  <c r="F29"/>
  <c r="G29"/>
  <c r="F91"/>
  <c r="E91"/>
  <c r="H86"/>
  <c r="H56"/>
  <c r="H8"/>
  <c r="H26"/>
  <c r="J33"/>
  <c r="K33"/>
  <c r="K94"/>
  <c r="I94"/>
  <c r="F9"/>
  <c r="E9"/>
  <c r="G30"/>
  <c r="E30"/>
  <c r="G85"/>
  <c r="F85"/>
  <c r="E16"/>
  <c r="G16"/>
  <c r="G93"/>
  <c r="F93"/>
  <c r="E17"/>
  <c r="F17"/>
  <c r="E86"/>
  <c r="G86"/>
  <c r="F11"/>
  <c r="G11"/>
  <c r="F61"/>
  <c r="E61"/>
  <c r="K15"/>
  <c r="J15"/>
  <c r="F87"/>
  <c r="E87"/>
  <c r="G60"/>
  <c r="E60"/>
  <c r="G55"/>
  <c r="F55"/>
  <c r="E94"/>
  <c r="G94"/>
  <c r="F63"/>
  <c r="G63"/>
  <c r="F95"/>
  <c r="E95"/>
  <c r="E56"/>
  <c r="G56"/>
  <c r="F89"/>
  <c r="G89"/>
  <c r="E31"/>
  <c r="F31"/>
  <c r="K93"/>
  <c r="J93"/>
  <c r="E57"/>
  <c r="F57"/>
  <c r="G90"/>
  <c r="E90"/>
  <c r="I17"/>
  <c r="J17"/>
  <c r="F25"/>
  <c r="G25"/>
  <c r="F25" i="12"/>
  <c r="G25"/>
  <c r="E64" i="7"/>
  <c r="G64"/>
  <c r="F33"/>
  <c r="G33"/>
  <c r="F65"/>
  <c r="E65"/>
  <c r="G26"/>
  <c r="E26"/>
  <c r="G59"/>
  <c r="F59"/>
  <c r="E13"/>
  <c r="F13"/>
  <c r="K63"/>
  <c r="J63"/>
  <c r="E27"/>
  <c r="F27"/>
  <c r="E12"/>
  <c r="G12"/>
  <c r="F7"/>
  <c r="G7"/>
  <c r="F23" i="12"/>
  <c r="G23"/>
  <c r="F29"/>
  <c r="G29"/>
  <c r="F28"/>
  <c r="G28"/>
  <c r="F27"/>
  <c r="G27"/>
  <c r="I64" i="7"/>
  <c r="I65"/>
  <c r="I16"/>
  <c r="J35"/>
  <c r="I34"/>
  <c r="I95"/>
  <c r="H61"/>
  <c r="H31"/>
  <c r="H13"/>
  <c r="H91"/>
  <c r="I8"/>
  <c r="K8"/>
  <c r="H89"/>
  <c r="H11"/>
  <c r="H59"/>
  <c r="H29"/>
  <c r="K26"/>
  <c r="I26"/>
  <c r="K86"/>
  <c r="I86"/>
  <c r="H7"/>
  <c r="H85"/>
  <c r="H55"/>
  <c r="H25"/>
  <c r="H12"/>
  <c r="H30"/>
  <c r="H90"/>
  <c r="H60"/>
  <c r="H57"/>
  <c r="H27"/>
  <c r="H9"/>
  <c r="H87"/>
  <c r="K56"/>
  <c r="I56"/>
  <c r="D35" i="11"/>
  <c r="J9" i="7"/>
  <c r="I9"/>
  <c r="I90"/>
  <c r="K90"/>
  <c r="K55"/>
  <c r="J55"/>
  <c r="J59"/>
  <c r="K59"/>
  <c r="I61"/>
  <c r="J61"/>
  <c r="J87"/>
  <c r="I87"/>
  <c r="I60"/>
  <c r="K60"/>
  <c r="J25"/>
  <c r="K25"/>
  <c r="J29"/>
  <c r="K29"/>
  <c r="I31"/>
  <c r="J31"/>
  <c r="J57"/>
  <c r="I57"/>
  <c r="I12"/>
  <c r="K12"/>
  <c r="J7"/>
  <c r="K7"/>
  <c r="K89"/>
  <c r="J89"/>
  <c r="J13"/>
  <c r="I13"/>
  <c r="J27"/>
  <c r="I27"/>
  <c r="I30"/>
  <c r="K30"/>
  <c r="K85"/>
  <c r="J85"/>
  <c r="J11"/>
  <c r="K11"/>
  <c r="J91"/>
  <c r="I91"/>
  <c r="D36" i="11"/>
  <c r="D13" i="13"/>
  <c r="D161" i="12"/>
  <c r="D7" i="13"/>
  <c r="F161" i="12"/>
  <c r="H161"/>
  <c r="D8" i="13"/>
  <c r="D130" i="7"/>
  <c r="F130"/>
  <c r="H130"/>
  <c r="D9" i="13"/>
  <c r="S46" i="8"/>
  <c r="D10" i="13"/>
  <c r="D14"/>
  <c r="D19"/>
  <c r="D15"/>
  <c r="D20"/>
  <c r="D18"/>
  <c r="D21"/>
</calcChain>
</file>

<file path=xl/comments1.xml><?xml version="1.0" encoding="utf-8"?>
<comments xmlns="http://schemas.openxmlformats.org/spreadsheetml/2006/main">
  <authors>
    <author>Otávio Bogossian</author>
  </authors>
  <commentList>
    <comment ref="B35" authorId="0">
      <text>
        <r>
          <rPr>
            <b/>
            <sz val="9"/>
            <color indexed="81"/>
            <rFont val="Tahoma"/>
            <charset val="1"/>
          </rPr>
          <t xml:space="preserve">Inclinação 0°
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35" authorId="0">
      <text>
        <r>
          <rPr>
            <b/>
            <sz val="9"/>
            <color indexed="81"/>
            <rFont val="Tahoma"/>
            <charset val="1"/>
          </rPr>
          <t xml:space="preserve">Inclinação 0°
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35" authorId="0">
      <text>
        <r>
          <rPr>
            <b/>
            <sz val="9"/>
            <color indexed="81"/>
            <rFont val="Tahoma"/>
            <charset val="1"/>
          </rPr>
          <t xml:space="preserve">Inclinação 0°
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35" authorId="0">
      <text>
        <r>
          <rPr>
            <b/>
            <sz val="9"/>
            <color indexed="81"/>
            <rFont val="Tahoma"/>
            <charset val="1"/>
          </rPr>
          <t xml:space="preserve">Inclinação 12°
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35" authorId="0">
      <text>
        <r>
          <rPr>
            <b/>
            <sz val="9"/>
            <color indexed="81"/>
            <rFont val="Tahoma"/>
            <charset val="1"/>
          </rPr>
          <t xml:space="preserve">Inclinação 12°
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35" authorId="0">
      <text>
        <r>
          <rPr>
            <b/>
            <sz val="9"/>
            <color indexed="81"/>
            <rFont val="Tahoma"/>
            <charset val="1"/>
          </rPr>
          <t xml:space="preserve">Inclinação 12°
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35" authorId="0">
      <text>
        <r>
          <rPr>
            <b/>
            <sz val="9"/>
            <color indexed="81"/>
            <rFont val="Tahoma"/>
            <charset val="1"/>
          </rPr>
          <t xml:space="preserve">Inclinação 25°
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35" authorId="0">
      <text>
        <r>
          <rPr>
            <b/>
            <sz val="9"/>
            <color indexed="81"/>
            <rFont val="Tahoma"/>
            <charset val="1"/>
          </rPr>
          <t xml:space="preserve">Inclinação 25°
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35" authorId="0">
      <text>
        <r>
          <rPr>
            <b/>
            <sz val="9"/>
            <color indexed="81"/>
            <rFont val="Tahoma"/>
            <charset val="1"/>
          </rPr>
          <t xml:space="preserve">Inclinação 25°
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35" authorId="0">
      <text>
        <r>
          <rPr>
            <b/>
            <sz val="9"/>
            <color indexed="81"/>
            <rFont val="Tahoma"/>
            <charset val="1"/>
          </rPr>
          <t>Cruzamento Eq. 10H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35" authorId="0">
      <text>
        <r>
          <rPr>
            <b/>
            <sz val="9"/>
            <color indexed="81"/>
            <rFont val="Tahoma"/>
            <charset val="1"/>
          </rPr>
          <t>Cruzamento Eq. 10H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M35" authorId="0">
      <text>
        <r>
          <rPr>
            <b/>
            <sz val="9"/>
            <color indexed="81"/>
            <rFont val="Tahoma"/>
            <charset val="1"/>
          </rPr>
          <t>Cruzamento Eq. 10H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N35" authorId="0">
      <text>
        <r>
          <rPr>
            <b/>
            <sz val="9"/>
            <color indexed="81"/>
            <rFont val="Tahoma"/>
            <charset val="1"/>
          </rPr>
          <t>Cruzamento Eq. 12H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O35" authorId="0">
      <text>
        <r>
          <rPr>
            <b/>
            <sz val="9"/>
            <color indexed="81"/>
            <rFont val="Tahoma"/>
            <charset val="1"/>
          </rPr>
          <t>Cruzamento Eq. 12H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P35" authorId="0">
      <text>
        <r>
          <rPr>
            <b/>
            <sz val="9"/>
            <color indexed="81"/>
            <rFont val="Tahoma"/>
            <charset val="1"/>
          </rPr>
          <t>Cruzamento Eq. 12H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<sst xmlns="http://schemas.openxmlformats.org/spreadsheetml/2006/main" count="1977" uniqueCount="920">
  <si>
    <t>Erro máximo de órbita</t>
  </si>
  <si>
    <t>kg</t>
  </si>
  <si>
    <t>Coeficiente arrasto</t>
  </si>
  <si>
    <t>m</t>
  </si>
  <si>
    <t>kg/m3</t>
  </si>
  <si>
    <t>400 km</t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</si>
  <si>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</rPr>
      <t>a</t>
    </r>
  </si>
  <si>
    <r>
      <t>C</t>
    </r>
    <r>
      <rPr>
        <vertAlign val="subscript"/>
        <sz val="11"/>
        <color theme="1"/>
        <rFont val="Calibri"/>
        <family val="2"/>
        <scheme val="minor"/>
      </rPr>
      <t>d</t>
    </r>
  </si>
  <si>
    <t>Valor</t>
  </si>
  <si>
    <t>unidades</t>
  </si>
  <si>
    <t>Observações</t>
  </si>
  <si>
    <t>a_400</t>
  </si>
  <si>
    <t>a_1500</t>
  </si>
  <si>
    <t>adim</t>
  </si>
  <si>
    <t>Unidade</t>
  </si>
  <si>
    <t>Entrada</t>
  </si>
  <si>
    <t>Nome</t>
  </si>
  <si>
    <t>Descrição</t>
  </si>
  <si>
    <r>
      <t>E</t>
    </r>
    <r>
      <rPr>
        <sz val="8"/>
        <color theme="1"/>
        <rFont val="Calibri"/>
        <family val="2"/>
        <scheme val="minor"/>
      </rPr>
      <t>R</t>
    </r>
  </si>
  <si>
    <t>1500 km</t>
  </si>
  <si>
    <r>
      <t>g</t>
    </r>
    <r>
      <rPr>
        <sz val="8"/>
        <color theme="1"/>
        <rFont val="Calibri"/>
        <family val="2"/>
        <scheme val="minor"/>
      </rPr>
      <t>0</t>
    </r>
  </si>
  <si>
    <t>Isp</t>
  </si>
  <si>
    <t>s</t>
  </si>
  <si>
    <t>Corpo do Satélite</t>
  </si>
  <si>
    <t>Por ajuste</t>
  </si>
  <si>
    <t>Segundos por dia</t>
  </si>
  <si>
    <t>Seg/dia</t>
  </si>
  <si>
    <t>x</t>
  </si>
  <si>
    <t>y</t>
  </si>
  <si>
    <t>z</t>
  </si>
  <si>
    <t>Sat. Com Painel Solar +Y</t>
  </si>
  <si>
    <t>Sat. Com Painel Solar -Y+Y</t>
  </si>
  <si>
    <t>Inclinação zero</t>
  </si>
  <si>
    <t>700 km</t>
  </si>
  <si>
    <t>Asx</t>
  </si>
  <si>
    <t>Asy</t>
  </si>
  <si>
    <t>Asz</t>
  </si>
  <si>
    <t>Área aparente normal ao eixo x</t>
  </si>
  <si>
    <t>Área Aparente normal ao eixo y</t>
  </si>
  <si>
    <t>Área Aparente normal ao eixo z</t>
  </si>
  <si>
    <t>Sigla</t>
  </si>
  <si>
    <t>Aax_I0700</t>
  </si>
  <si>
    <t>Aay_I0700</t>
  </si>
  <si>
    <t>Aaz_I0700</t>
  </si>
  <si>
    <t>Aax_I01500</t>
  </si>
  <si>
    <t>Aay_I01500</t>
  </si>
  <si>
    <t>Aaz_I01500</t>
  </si>
  <si>
    <t>Fvm</t>
  </si>
  <si>
    <t>Aps_my</t>
  </si>
  <si>
    <t>Aps_y</t>
  </si>
  <si>
    <t>Inclinação 12°</t>
  </si>
  <si>
    <t>Aax_I12700</t>
  </si>
  <si>
    <t>Aay_I12700</t>
  </si>
  <si>
    <t>Aaz_I12700</t>
  </si>
  <si>
    <t>Aax_I121500</t>
  </si>
  <si>
    <t>Aay_I121500</t>
  </si>
  <si>
    <t>Aaz_I121500</t>
  </si>
  <si>
    <t>Aax_I25700</t>
  </si>
  <si>
    <t>Aay_I25700</t>
  </si>
  <si>
    <t>Aaz_I25700</t>
  </si>
  <si>
    <t>Aax_I251500</t>
  </si>
  <si>
    <t>Aay_I251500</t>
  </si>
  <si>
    <t>Aaz_I251500</t>
  </si>
  <si>
    <t>Inclinação 25°</t>
  </si>
  <si>
    <t>a_700</t>
  </si>
  <si>
    <t>(kg)</t>
  </si>
  <si>
    <t>Por Ano</t>
  </si>
  <si>
    <t>Margem Segurança</t>
  </si>
  <si>
    <t>Vida útil</t>
  </si>
  <si>
    <t>Vu</t>
  </si>
  <si>
    <t>anos</t>
  </si>
  <si>
    <t>Fator valor médio orbital</t>
  </si>
  <si>
    <t>Fmp</t>
  </si>
  <si>
    <t>Fator de margem dos tanques</t>
  </si>
  <si>
    <t>(Dias)</t>
  </si>
  <si>
    <t>(m/s)</t>
  </si>
  <si>
    <r>
      <rPr>
        <b/>
        <sz val="11"/>
        <color theme="1"/>
        <rFont val="Symbol"/>
        <family val="1"/>
        <charset val="2"/>
      </rPr>
      <t>D</t>
    </r>
    <r>
      <rPr>
        <b/>
        <sz val="11"/>
        <color theme="1"/>
        <rFont val="Calibri"/>
        <family val="2"/>
      </rPr>
      <t>V</t>
    </r>
  </si>
  <si>
    <r>
      <rPr>
        <b/>
        <sz val="11"/>
        <color theme="1"/>
        <rFont val="Symbol"/>
        <family val="1"/>
        <charset val="2"/>
      </rPr>
      <t>D</t>
    </r>
    <r>
      <rPr>
        <b/>
        <sz val="11"/>
        <color theme="1"/>
        <rFont val="Calibri"/>
        <family val="2"/>
      </rPr>
      <t>m</t>
    </r>
  </si>
  <si>
    <t>Periodo</t>
  </si>
  <si>
    <t>Órbita</t>
  </si>
  <si>
    <t>Xcm</t>
  </si>
  <si>
    <t>Ycm</t>
  </si>
  <si>
    <t>Zcm</t>
  </si>
  <si>
    <t>Xcp</t>
  </si>
  <si>
    <t>Ycp</t>
  </si>
  <si>
    <t>Zcp</t>
  </si>
  <si>
    <t>(N)</t>
  </si>
  <si>
    <t>Fd</t>
  </si>
  <si>
    <t>Periodo orbital 400 km</t>
  </si>
  <si>
    <t>Periodo orbital 700 km</t>
  </si>
  <si>
    <t>Periodo orbital 1500 km</t>
  </si>
  <si>
    <t>T_400</t>
  </si>
  <si>
    <t>T_700</t>
  </si>
  <si>
    <t>T_1500</t>
  </si>
  <si>
    <t>(Nms)</t>
  </si>
  <si>
    <t>dcm-dcp</t>
  </si>
  <si>
    <t>MA</t>
  </si>
  <si>
    <t>(m)</t>
  </si>
  <si>
    <t>Xcpy</t>
  </si>
  <si>
    <t>Ycpy</t>
  </si>
  <si>
    <t>Zcpy</t>
  </si>
  <si>
    <t>Xcpmy</t>
  </si>
  <si>
    <t>Ycpmy</t>
  </si>
  <si>
    <t>Zcpmy</t>
  </si>
  <si>
    <t>Aax_I0700Max</t>
  </si>
  <si>
    <t>Aay_I0700Max</t>
  </si>
  <si>
    <t>Aaz_I0700Max</t>
  </si>
  <si>
    <t>Aax_I01500Max</t>
  </si>
  <si>
    <t>Aay_I01500Max</t>
  </si>
  <si>
    <t>Aaz_I01500Max</t>
  </si>
  <si>
    <t>Aax_I12700Max</t>
  </si>
  <si>
    <t>Aay_I12700Max</t>
  </si>
  <si>
    <t>Aaz_I12700Max</t>
  </si>
  <si>
    <t>Aax_I121500Max</t>
  </si>
  <si>
    <t>Aay_I121500Max</t>
  </si>
  <si>
    <t>Aaz_I121500Max</t>
  </si>
  <si>
    <t>Aax_I25700Max</t>
  </si>
  <si>
    <t>Aay_I25700Max</t>
  </si>
  <si>
    <t>Aaz_I25700Max</t>
  </si>
  <si>
    <t>Aax_I251500Max</t>
  </si>
  <si>
    <t>Aay_I251500Max</t>
  </si>
  <si>
    <t>Aaz_I251500Max</t>
  </si>
  <si>
    <t>NodW</t>
  </si>
  <si>
    <t>Margem dimensionam. Rodas</t>
  </si>
  <si>
    <t>MdW</t>
  </si>
  <si>
    <t>MA margem</t>
  </si>
  <si>
    <t>MA n Orbt</t>
  </si>
  <si>
    <t>TODAS AS ÓRBITAS COM APONTAMENTO NADIR</t>
  </si>
  <si>
    <t>Semi-eixo órbita 400 km</t>
  </si>
  <si>
    <t>Semi-eixo órbita 700 km</t>
  </si>
  <si>
    <t>Semi-eixo órbita 1500 km</t>
  </si>
  <si>
    <t>Número órbitas</t>
  </si>
  <si>
    <t>Número de órbitas que a roda deve ser capaz de armazenar o Momento Angular</t>
  </si>
  <si>
    <t>Descrição do parâmetro</t>
  </si>
  <si>
    <t>u</t>
  </si>
  <si>
    <t>Caso do painel inercialmente apontado com arrasto nas duas faces</t>
  </si>
  <si>
    <t>Superf normal a x   altitude=700 km</t>
  </si>
  <si>
    <t>Superf normal a y   altitude=700 km</t>
  </si>
  <si>
    <t>Superf normal a z   altitude=700 km</t>
  </si>
  <si>
    <t>Superf normal a x   altitude=1500 km</t>
  </si>
  <si>
    <t>Superf normal a y   altitude=1500 km</t>
  </si>
  <si>
    <t>Superf normal a z   altitude=1500 km</t>
  </si>
  <si>
    <t>ANGULO DE ATAQUE MÉDIO ANUAL  VALOR ABSOLUTO CASO DRAG,  EQU, SOLAR, i=0°</t>
  </si>
  <si>
    <t>ANGULO DE ATAQUE MÉDIO ANUAL  VALOR ABSOLUTO CASO DRAG,  EQU, SOLAR, i=12°</t>
  </si>
  <si>
    <t>ANGULO DE ATAQUE MÉDIO ANUAL  VALOR ABSOLUTO CASO DRAG,  EQU, SOLAR, i=25°</t>
  </si>
  <si>
    <t>Parâmetros</t>
  </si>
  <si>
    <t>Vida-útil Anos</t>
  </si>
  <si>
    <t>ÓRBITAS EQUATORIAIS COM APONTAMENTO SOLAR</t>
  </si>
  <si>
    <t xml:space="preserve">Centro de Massa </t>
  </si>
  <si>
    <t>OBSERVAÇÕES</t>
  </si>
  <si>
    <t>roll - A superfície normal a X é integralmente submetida ao arrasto</t>
  </si>
  <si>
    <t>pitch/arrasto superfície y desprezível/efeito superf x afeta y e z</t>
  </si>
  <si>
    <t>Yaw/arrasto na superfície z desprezível/efeito superf x afeta y e z</t>
  </si>
  <si>
    <t>Eixo de rotação do painel posicionado no centro da superficie normal a y</t>
  </si>
  <si>
    <t>área efetiva igual ao valor médio 2*Area painel y/Pi (frente e verso)</t>
  </si>
  <si>
    <t>área da espessura do painel desprezível e coberta pelo corpo</t>
  </si>
  <si>
    <t>espessura desprezível</t>
  </si>
  <si>
    <t>x apontado para o Sol, z no plano orbital e</t>
  </si>
  <si>
    <t xml:space="preserve"> y mais próximo da normal ao plano orbital</t>
  </si>
  <si>
    <t>Área Painel +Y</t>
  </si>
  <si>
    <t>Área Painel -Y</t>
  </si>
  <si>
    <t>Superf normal x  alt=700</t>
  </si>
  <si>
    <t>Superf normal z  alt=700</t>
  </si>
  <si>
    <t>Superf normal y  alt=700</t>
  </si>
  <si>
    <t>Superf normal x  alt=1500</t>
  </si>
  <si>
    <t>Superf normal y  alt=1500</t>
  </si>
  <si>
    <t>Superf normal z  alt=1500</t>
  </si>
  <si>
    <t>ANGULO DE ATAQUE MÁXIMO NO ANO POR ÓRBITA CASO TORQUE, APONT. SOLAR EQU i=0°</t>
  </si>
  <si>
    <t>ANGULO DE ATAQUE MÁXIMO NO ANO POR ÓRBITA CASO TORQUE,  APONT. SOLAR EQU, i=12°</t>
  </si>
  <si>
    <t>ANGULO DE ATAQUE MÁXIMO NO ANO POR ÓRBITA CASO TORQUE,  APONT. SOLAR EQU, i=25°</t>
  </si>
  <si>
    <t>TODAS AS ÓRBITAS COM APONTAMENTO NADIR (Sem simulação)</t>
  </si>
  <si>
    <t>Cpressão</t>
  </si>
  <si>
    <t>y=</t>
  </si>
  <si>
    <t>(erro, vida-útil e margem)</t>
  </si>
  <si>
    <t>(Nº órbitas, margem)</t>
  </si>
  <si>
    <t>Nº órbitas para o dimensionamento da roda</t>
  </si>
  <si>
    <t>ORBITAS SSO</t>
  </si>
  <si>
    <t>B médio</t>
  </si>
  <si>
    <t>(nT)</t>
  </si>
  <si>
    <t>MA rodas</t>
  </si>
  <si>
    <t>Mx</t>
  </si>
  <si>
    <t>My</t>
  </si>
  <si>
    <t>Mz</t>
  </si>
  <si>
    <t>CAMPO MAGNÉTICO MÍNIMO NO ANO EM VALOR ABSOLUTO CASO EQU i=0°</t>
  </si>
  <si>
    <t>CAMPO MAGNÉTICO MÍNIMO NO ANO EM VALOR ABSOLUTO CASO EQU i=12°</t>
  </si>
  <si>
    <t>CAMPO MAGNÉTICO MÍNIMO NO ANO EM VALOR ABSOLUTO CASO EQU i=25°</t>
  </si>
  <si>
    <t xml:space="preserve"> x   altitude=700 km</t>
  </si>
  <si>
    <t>y   altitude=700 km</t>
  </si>
  <si>
    <t>z   altitude=700 km</t>
  </si>
  <si>
    <t xml:space="preserve"> x   altitude=400 km</t>
  </si>
  <si>
    <t>y   altitude=400 km</t>
  </si>
  <si>
    <t>z   altitude=400 km</t>
  </si>
  <si>
    <t xml:space="preserve"> x   altitude=1500 km</t>
  </si>
  <si>
    <t>y   altitude=1500 km</t>
  </si>
  <si>
    <t>z   altitude=1500 km</t>
  </si>
  <si>
    <t>CAMPO MAGNÉTICO MÍNIMO NO ANO EM VALOR ABSOLUTO CASO SSO</t>
  </si>
  <si>
    <t>nT</t>
  </si>
  <si>
    <t>CMEQ0400x</t>
  </si>
  <si>
    <t>CMEQ0400y</t>
  </si>
  <si>
    <t>CMEQ0400z</t>
  </si>
  <si>
    <t>CMEQ0700x</t>
  </si>
  <si>
    <t>CMEQ0700y</t>
  </si>
  <si>
    <t>CMEQ0700z</t>
  </si>
  <si>
    <t>CMEQ01500x</t>
  </si>
  <si>
    <t>CMEQ01500y</t>
  </si>
  <si>
    <t>CMEQ01500z</t>
  </si>
  <si>
    <t>CMSS400x</t>
  </si>
  <si>
    <t>CMSS400y</t>
  </si>
  <si>
    <t>CMSS400z</t>
  </si>
  <si>
    <t>CMSS700x</t>
  </si>
  <si>
    <t>CMSS700y</t>
  </si>
  <si>
    <t>CMSS700z</t>
  </si>
  <si>
    <t>CMSS1500x</t>
  </si>
  <si>
    <t>CMSS1500y</t>
  </si>
  <si>
    <t>CMSS1500z</t>
  </si>
  <si>
    <t>CMEQ12400x</t>
  </si>
  <si>
    <t>CMEQ12400y</t>
  </si>
  <si>
    <t>CMEQ12400z</t>
  </si>
  <si>
    <t>CMEQ12700x</t>
  </si>
  <si>
    <t>CMEQ12700y</t>
  </si>
  <si>
    <t>CMEQ12700z</t>
  </si>
  <si>
    <t>CMEQ121500x</t>
  </si>
  <si>
    <t>CMEQ121500y</t>
  </si>
  <si>
    <t>CMEQ121500z</t>
  </si>
  <si>
    <t>CMEQ25400x</t>
  </si>
  <si>
    <t>CMEQ25400y</t>
  </si>
  <si>
    <t>CMEQ25400z</t>
  </si>
  <si>
    <t>CMEQ25700x</t>
  </si>
  <si>
    <t>CMEQ25700y</t>
  </si>
  <si>
    <t>CMEQ25700z</t>
  </si>
  <si>
    <t>CMEQ251500x</t>
  </si>
  <si>
    <t>CMEQ251500y</t>
  </si>
  <si>
    <t>CMEQ251500z</t>
  </si>
  <si>
    <t>Corpo satélite</t>
  </si>
  <si>
    <t>Satélite com PS +Y</t>
  </si>
  <si>
    <t>Satélite com PS -Y</t>
  </si>
  <si>
    <t>Inclinação zero com MA do apontamento Nadir</t>
  </si>
  <si>
    <t>ÓRBITAS EQUATORIAIS</t>
  </si>
  <si>
    <r>
      <t>(Am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)</t>
    </r>
  </si>
  <si>
    <t>(km)/eixo</t>
  </si>
  <si>
    <t>Inclinação zero com MA do apontamento Sol</t>
  </si>
  <si>
    <t>Inclinação 12º  com MA do apontamento Sol</t>
  </si>
  <si>
    <t>Inclinação 12º com MA do apontamento Nadir</t>
  </si>
  <si>
    <t>Inclinação 25º com MA do apontamento Nadir</t>
  </si>
  <si>
    <t>Inclinação 25º  com MA do apontamento Sol</t>
  </si>
  <si>
    <t>ANGULO BETA E DURAÇÃO ECLIPSE CASO SSO</t>
  </si>
  <si>
    <t>altitude 400 km 10 horas - Máximo eclipse</t>
  </si>
  <si>
    <t>altitude 400 km 10 horas - DE para máximo DE/cosB</t>
  </si>
  <si>
    <t>altitude 400 km 10 horas - Beta para máximo DE/cosB</t>
  </si>
  <si>
    <t>altitude 700 km 10 horas - Máximo eclipse</t>
  </si>
  <si>
    <t>altitude 700 km 10 horas - Beta para máximo DE/cosB</t>
  </si>
  <si>
    <t>altitude 700 km 10 horas - DE para máximo DE/cosB</t>
  </si>
  <si>
    <t>altitude 1500 km 10 horas - Máximo eclipse</t>
  </si>
  <si>
    <t>altitude 1500 km 10 horas - Beta para máximo DE/cosB</t>
  </si>
  <si>
    <t>altitude 1500 km 10 horas - DE para máximo DE/cosB</t>
  </si>
  <si>
    <t>altitude 400 km 12 horas - Beta para máximo DE/cosB</t>
  </si>
  <si>
    <t>altitude 400 km 12 horas - DE para máximo DE/cosB</t>
  </si>
  <si>
    <t>altitude 400 km 12 horas - Máximo eclipse</t>
  </si>
  <si>
    <t>altitude 700 km 12 horas - Máximo eclipse</t>
  </si>
  <si>
    <t>altitude 700 km 12 horas - Beta para máximo DE/cosB</t>
  </si>
  <si>
    <t>altitude 700 km 12 horas - DE para máximo DE/cosB</t>
  </si>
  <si>
    <t>altitude 1500 km 12 horas - Máximo eclipse</t>
  </si>
  <si>
    <t>altitude 1500 km 12 horas - Beta para máximo DE/cosB</t>
  </si>
  <si>
    <t>altitude 1500 km 12 horas - DE para máximo DE/cosB</t>
  </si>
  <si>
    <t>altitude 400 km - Máximo eclipse</t>
  </si>
  <si>
    <t>altitude 400 km - Beta para máximo DE/cosB</t>
  </si>
  <si>
    <t>altitude 400 km - DE para máximo DE/cosB</t>
  </si>
  <si>
    <t>altitude 700 km - Máximo eclipse</t>
  </si>
  <si>
    <t>altitude 700 km - Beta para máximo DE/cosB</t>
  </si>
  <si>
    <t>altitude 700 km - DE para máximo DE/cosB</t>
  </si>
  <si>
    <t>altitude 1500 km - Máximo eclipse</t>
  </si>
  <si>
    <t>altitude 1500 km - Beta para máximo DE/cosB</t>
  </si>
  <si>
    <t>altitude 1500 km - DE para máximo DE/cosB</t>
  </si>
  <si>
    <t>EBSS400H10ME</t>
  </si>
  <si>
    <t>EBEQ0400ME</t>
  </si>
  <si>
    <t>EBEQ0400BE</t>
  </si>
  <si>
    <t>EBEQ0400DE</t>
  </si>
  <si>
    <t>EBEQ0700ME</t>
  </si>
  <si>
    <t>EBEQ0700BE</t>
  </si>
  <si>
    <t>EBEQ0700DE</t>
  </si>
  <si>
    <t>EBEQ01500ME</t>
  </si>
  <si>
    <t>EBEQ01500BE</t>
  </si>
  <si>
    <t>EBEQ01500DE</t>
  </si>
  <si>
    <t>EBEQ12700ME</t>
  </si>
  <si>
    <t>EBEQ12700BE</t>
  </si>
  <si>
    <t>EBEQ12700DE</t>
  </si>
  <si>
    <t>EBEQ121500ME</t>
  </si>
  <si>
    <t>EBEQ121500BE</t>
  </si>
  <si>
    <t>EBEQ121500DE</t>
  </si>
  <si>
    <t>EBEQ12400ME</t>
  </si>
  <si>
    <t>EBEQ12400BE</t>
  </si>
  <si>
    <t>EBEQ12400DE</t>
  </si>
  <si>
    <t>EBEQ25400ME</t>
  </si>
  <si>
    <t>EBEQ25400BE</t>
  </si>
  <si>
    <t>EBEQ25400DE</t>
  </si>
  <si>
    <t>EBEQ25700ME</t>
  </si>
  <si>
    <t>EBEQ25700BE</t>
  </si>
  <si>
    <t>EBEQ25700DE</t>
  </si>
  <si>
    <t>EBEQ251500ME</t>
  </si>
  <si>
    <t>EBEQ251500BE</t>
  </si>
  <si>
    <t>EBEQ251500DE</t>
  </si>
  <si>
    <t>ANGULO BETA E DURAÇÃO ECLIPSE CASO EQU 25  (Nadir)</t>
  </si>
  <si>
    <t>ANGULO BETA E DURAÇÃO ECLIPSE CASO EQU 12  (Nadir)</t>
  </si>
  <si>
    <t>ANGULO BETA E DURAÇÃO ECLIPSE CASO EQU 0  (Nadir)</t>
  </si>
  <si>
    <t>ÓRBITAS SSO</t>
  </si>
  <si>
    <t>HORARIO 10H</t>
  </si>
  <si>
    <t>HORARIO 12H</t>
  </si>
  <si>
    <t>C</t>
  </si>
  <si>
    <t>(Ah)</t>
  </si>
  <si>
    <t>S</t>
  </si>
  <si>
    <r>
      <t>(m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)</t>
    </r>
  </si>
  <si>
    <t>Potência máxima da plataforma</t>
  </si>
  <si>
    <t>Eficiencia de carga da bateria</t>
  </si>
  <si>
    <t>Eficiencia de descarga da bateria</t>
  </si>
  <si>
    <t>EOL</t>
  </si>
  <si>
    <t>Pmax</t>
  </si>
  <si>
    <t>Efcb</t>
  </si>
  <si>
    <t>Efdb</t>
  </si>
  <si>
    <t>Efcell</t>
  </si>
  <si>
    <t>W</t>
  </si>
  <si>
    <t>Voltagem mínima barramento</t>
  </si>
  <si>
    <t>Vmin</t>
  </si>
  <si>
    <t>V</t>
  </si>
  <si>
    <t>Segundos por hora</t>
  </si>
  <si>
    <t>Sh</t>
  </si>
  <si>
    <t>Scte</t>
  </si>
  <si>
    <t>ÓRBITAS EQU 25</t>
  </si>
  <si>
    <t xml:space="preserve"> NADIR</t>
  </si>
  <si>
    <t>ÓRBITAS EQU 12</t>
  </si>
  <si>
    <r>
      <t>W/m</t>
    </r>
    <r>
      <rPr>
        <vertAlign val="superscript"/>
        <sz val="11"/>
        <color theme="1"/>
        <rFont val="Calibri"/>
        <family val="2"/>
        <scheme val="minor"/>
      </rPr>
      <t>2</t>
    </r>
  </si>
  <si>
    <t>Constante Solar próximo da Terra</t>
  </si>
  <si>
    <t xml:space="preserve">ÓRBITAS EQU 0 </t>
  </si>
  <si>
    <t>SOLAR</t>
  </si>
  <si>
    <t>Mdb</t>
  </si>
  <si>
    <t>Margem dimen. paineis solares</t>
  </si>
  <si>
    <t>Margem dimension. das baterias</t>
  </si>
  <si>
    <t>Mdps</t>
  </si>
  <si>
    <t>Conf 1</t>
  </si>
  <si>
    <t>Conf 2</t>
  </si>
  <si>
    <t>Conf 3</t>
  </si>
  <si>
    <r>
      <t>(Am</t>
    </r>
    <r>
      <rPr>
        <vertAlign val="superscript"/>
        <sz val="11"/>
        <color theme="1"/>
        <rFont val="Calibri"/>
        <family val="2"/>
        <scheme val="minor"/>
      </rPr>
      <t>2)</t>
    </r>
  </si>
  <si>
    <t>0/400</t>
  </si>
  <si>
    <t>0/700</t>
  </si>
  <si>
    <t>0/1500</t>
  </si>
  <si>
    <t>12/400</t>
  </si>
  <si>
    <t>12/700</t>
  </si>
  <si>
    <t>12/1500</t>
  </si>
  <si>
    <t>25/400</t>
  </si>
  <si>
    <t>25/700</t>
  </si>
  <si>
    <t>25/1500</t>
  </si>
  <si>
    <t>400/10</t>
  </si>
  <si>
    <t>400/12</t>
  </si>
  <si>
    <t>700/10</t>
  </si>
  <si>
    <t>700/12</t>
  </si>
  <si>
    <t>1500/10</t>
  </si>
  <si>
    <t>1500/12</t>
  </si>
  <si>
    <t>TIDQT</t>
  </si>
  <si>
    <t>TID min componentes disponíveis QT</t>
  </si>
  <si>
    <t>TID Margem de dimensionamento</t>
  </si>
  <si>
    <t>TIDMg</t>
  </si>
  <si>
    <t>Blindagem minima face-sheet</t>
  </si>
  <si>
    <t>TIDbcx</t>
  </si>
  <si>
    <t>TIDbfs</t>
  </si>
  <si>
    <t>mm</t>
  </si>
  <si>
    <t>Órbitas consideradas</t>
  </si>
  <si>
    <t>EQU I=0/400</t>
  </si>
  <si>
    <t>EQU I=0/700</t>
  </si>
  <si>
    <t>EQU I=0/1500</t>
  </si>
  <si>
    <t>EQU I=12/400</t>
  </si>
  <si>
    <t>EQU I=12/700</t>
  </si>
  <si>
    <t>EQU I=12/1500</t>
  </si>
  <si>
    <t>EQU I=25/400</t>
  </si>
  <si>
    <t>EQU I=25/700</t>
  </si>
  <si>
    <t>EQU I=25/1500</t>
  </si>
  <si>
    <t xml:space="preserve"> SSO 10H/400</t>
  </si>
  <si>
    <t xml:space="preserve"> SSO 10H/700</t>
  </si>
  <si>
    <t xml:space="preserve"> SSO 10H/1500</t>
  </si>
  <si>
    <t xml:space="preserve"> SSO 12H/400</t>
  </si>
  <si>
    <t xml:space="preserve"> SSO 12H/700</t>
  </si>
  <si>
    <t xml:space="preserve"> SSO 12H/1500</t>
  </si>
  <si>
    <t>OcEQU0400</t>
  </si>
  <si>
    <t>OcEQU0700</t>
  </si>
  <si>
    <t>OcEQU01500</t>
  </si>
  <si>
    <t>OcEQU12400</t>
  </si>
  <si>
    <t>OcEQU12700</t>
  </si>
  <si>
    <t>OcEQU121500</t>
  </si>
  <si>
    <t>OcEQU25400</t>
  </si>
  <si>
    <t>OcEQU25700</t>
  </si>
  <si>
    <t>OcEQU251500</t>
  </si>
  <si>
    <t>OcSSO10H400</t>
  </si>
  <si>
    <t>OcSSO10H700</t>
  </si>
  <si>
    <t>OcSSO10H1500</t>
  </si>
  <si>
    <t>0 = órbita não considerada / 1= órbita considerada</t>
  </si>
  <si>
    <t>OcSSO12H400</t>
  </si>
  <si>
    <t>OcSSO12H700</t>
  </si>
  <si>
    <t>OcSSO12H1500</t>
  </si>
  <si>
    <t>Órbitas não cobertas</t>
  </si>
  <si>
    <t>Blindagem adicional</t>
  </si>
  <si>
    <t>Pequenas</t>
  </si>
  <si>
    <t>Médias</t>
  </si>
  <si>
    <t>Grandes</t>
  </si>
  <si>
    <t>Blindagem adicional das caixas de equipamentos adquiridos</t>
  </si>
  <si>
    <t>Blindagem mínima caixas desenv.</t>
  </si>
  <si>
    <t>TID dos equipamentos adquiridos</t>
  </si>
  <si>
    <t>Densidade do Alumínio</t>
  </si>
  <si>
    <t>DenAl</t>
  </si>
  <si>
    <t>TIDEqAd</t>
  </si>
  <si>
    <t>Equipamentos Adquiridos</t>
  </si>
  <si>
    <t>Equipamentos desenvolvidos (baseados nos componentes adquiridos)</t>
  </si>
  <si>
    <t>Equipamentos adquiridos</t>
  </si>
  <si>
    <t>Blindagem adicional das caixas de equipamentos desenvolvidos</t>
  </si>
  <si>
    <t>Qtde caixas desenvolvimento próprio</t>
  </si>
  <si>
    <t>QcDPp</t>
  </si>
  <si>
    <t>QcDPm</t>
  </si>
  <si>
    <t>QcDPg</t>
  </si>
  <si>
    <t>QcAdp</t>
  </si>
  <si>
    <t>QcAdm</t>
  </si>
  <si>
    <t>QcAdg</t>
  </si>
  <si>
    <t>Totais</t>
  </si>
  <si>
    <t>AEDPp</t>
  </si>
  <si>
    <t>AEDPm</t>
  </si>
  <si>
    <t>AEDPg</t>
  </si>
  <si>
    <t>AEAdp</t>
  </si>
  <si>
    <t>AEAdm</t>
  </si>
  <si>
    <t>AEAdg</t>
  </si>
  <si>
    <t>TID blindagem padrão</t>
  </si>
  <si>
    <t>Apontamentos considerados</t>
  </si>
  <si>
    <t>Nadir</t>
  </si>
  <si>
    <t>Sol</t>
  </si>
  <si>
    <t>Configurações consideradas</t>
  </si>
  <si>
    <t>Duas asas rotativas</t>
  </si>
  <si>
    <t>1 =  Considera o apontamento nadir na avaliação / 0 = não</t>
  </si>
  <si>
    <t>1 = Considera o apontamento Sol na avaliação / 0 = não</t>
  </si>
  <si>
    <t>ApNadir</t>
  </si>
  <si>
    <t>ApSol</t>
  </si>
  <si>
    <t>AsaRot1</t>
  </si>
  <si>
    <t>Qtde caixas adquiridas com componentes eletrônicos</t>
  </si>
  <si>
    <t>Capacidade com Margem</t>
  </si>
  <si>
    <t>Área do Painel com margem</t>
  </si>
  <si>
    <t>Área do Painel</t>
  </si>
  <si>
    <t>Capacidade da Bateria</t>
  </si>
  <si>
    <t>Capac. com Margem</t>
  </si>
  <si>
    <t>Área com margem</t>
  </si>
  <si>
    <t>AsaRot2</t>
  </si>
  <si>
    <t>RSI 15-45/20</t>
  </si>
  <si>
    <t>RDR 23-0</t>
  </si>
  <si>
    <t>TR30CFN</t>
  </si>
  <si>
    <t>Sistema de referencia</t>
  </si>
  <si>
    <t>X</t>
  </si>
  <si>
    <t>Y</t>
  </si>
  <si>
    <t>Z</t>
  </si>
  <si>
    <t>Nadir - apontado vetor velocidade (Roll)/Sol - apontado para o Sol</t>
  </si>
  <si>
    <t>Nadir - perpendicular ao plano da órbita (Pitch)/Sol - Forma um triedo positivo</t>
  </si>
  <si>
    <t>Nadir - apontado para Nadir / Sol - no plano orbital</t>
  </si>
  <si>
    <t>OST 31/0</t>
  </si>
  <si>
    <t>OST 31/1</t>
  </si>
  <si>
    <t>PMM</t>
  </si>
  <si>
    <t>Centro Pressão corpo painel +x</t>
  </si>
  <si>
    <t>DOD</t>
  </si>
  <si>
    <t>Dod</t>
  </si>
  <si>
    <t>Centro Pressão Asa +Y</t>
  </si>
  <si>
    <t>Centro Pressão Asa -Y</t>
  </si>
  <si>
    <r>
      <t>m</t>
    </r>
    <r>
      <rPr>
        <vertAlign val="superscript"/>
        <sz val="11"/>
        <color theme="1"/>
        <rFont val="Calibri"/>
        <family val="2"/>
        <scheme val="minor"/>
      </rPr>
      <t>2</t>
    </r>
  </si>
  <si>
    <t>EQU</t>
  </si>
  <si>
    <t>NADIR</t>
  </si>
  <si>
    <t>Sada sempre presente</t>
  </si>
  <si>
    <t>Satélite em avaliação</t>
  </si>
  <si>
    <t>Órbita mais baixa considerada</t>
  </si>
  <si>
    <t>Orbbaix</t>
  </si>
  <si>
    <t>Orbalta</t>
  </si>
  <si>
    <t>km</t>
  </si>
  <si>
    <t>NomPlat</t>
  </si>
  <si>
    <t>Sadaspre</t>
  </si>
  <si>
    <t>1 = Sada estará presente em apontamento solar</t>
  </si>
  <si>
    <t>Max:</t>
  </si>
  <si>
    <t>Área total da asa +Y</t>
  </si>
  <si>
    <t>Área total da asa -Y</t>
  </si>
  <si>
    <t>Efte</t>
  </si>
  <si>
    <t>Eficiência transporte energia (PDCU+diodos)</t>
  </si>
  <si>
    <t>DESSO400H10</t>
  </si>
  <si>
    <t>BESSO400H10</t>
  </si>
  <si>
    <t>MESSO400H12</t>
  </si>
  <si>
    <t>BESSO400H12</t>
  </si>
  <si>
    <t>DESSO400H12</t>
  </si>
  <si>
    <t>MESSO700H10</t>
  </si>
  <si>
    <t>BESSO700H10</t>
  </si>
  <si>
    <t>DESSO700H10</t>
  </si>
  <si>
    <t>MESSO700H12</t>
  </si>
  <si>
    <t>BESSO700H12</t>
  </si>
  <si>
    <t>DESSO700H12</t>
  </si>
  <si>
    <t>MESSO1500H10</t>
  </si>
  <si>
    <t>BESSO1500H10</t>
  </si>
  <si>
    <t>DESSO1500H10</t>
  </si>
  <si>
    <t>MESSO1500H12</t>
  </si>
  <si>
    <t>BESSO1500H12</t>
  </si>
  <si>
    <t>DESSO1500H12</t>
  </si>
  <si>
    <t>Eficiência das células integradas</t>
  </si>
  <si>
    <t>&gt;50</t>
  </si>
  <si>
    <t>Conf 1 (*)</t>
  </si>
  <si>
    <t>LOW INC</t>
  </si>
  <si>
    <t>Min:</t>
  </si>
  <si>
    <t>ORBIT</t>
  </si>
  <si>
    <t>INCL</t>
  </si>
  <si>
    <t>SSO 10H</t>
  </si>
  <si>
    <t>97/98</t>
  </si>
  <si>
    <t>Qrwh</t>
  </si>
  <si>
    <t>Qtrods</t>
  </si>
  <si>
    <t>SSO 12H</t>
  </si>
  <si>
    <t>TOTAL IONISED DOSE</t>
  </si>
  <si>
    <t>COMPONENT</t>
  </si>
  <si>
    <t>Massa da Plataforma</t>
  </si>
  <si>
    <t>mp</t>
  </si>
  <si>
    <t>Placas inseridas Equipto adquiridos</t>
  </si>
  <si>
    <t>Placas inseridas Equipto desenvol.</t>
  </si>
  <si>
    <t>Scalability</t>
  </si>
  <si>
    <t>Nº de configurações dos tanques</t>
  </si>
  <si>
    <t>Nº de configurações das rodas</t>
  </si>
  <si>
    <t>Nº de configurações das bobinas</t>
  </si>
  <si>
    <t>Nº de configuraçõess das baterias</t>
  </si>
  <si>
    <t>Nº de configuraçõess do SAG</t>
  </si>
  <si>
    <t>ConfWheels</t>
  </si>
  <si>
    <t>ConfTanks</t>
  </si>
  <si>
    <t>ConfTRods</t>
  </si>
  <si>
    <t>ConfBatt</t>
  </si>
  <si>
    <t>ConfSAG</t>
  </si>
  <si>
    <t>Órbita mais alta considerada</t>
  </si>
  <si>
    <t>Mass (kg)</t>
  </si>
  <si>
    <t>INC</t>
  </si>
  <si>
    <r>
      <t xml:space="preserve">ORBIT ALT. </t>
    </r>
    <r>
      <rPr>
        <sz val="11"/>
        <color theme="1"/>
        <rFont val="Calibri"/>
        <family val="2"/>
        <scheme val="minor"/>
      </rPr>
      <t>(km)</t>
    </r>
  </si>
  <si>
    <t>Unit:</t>
  </si>
  <si>
    <t>Qtanks</t>
  </si>
  <si>
    <t>Área útil de cada Painel</t>
  </si>
  <si>
    <t>AuPanel</t>
  </si>
  <si>
    <r>
      <t>(m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</si>
  <si>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t>Uma asa rotativa</t>
  </si>
  <si>
    <t>1 =  Considera a configuração do satélite com uma ou duas asas rotativas / 0 = não</t>
  </si>
  <si>
    <t>1 =  Considera a configuração do satélite sempre com duas asas rotativas de painéis solares / 0 = não</t>
  </si>
  <si>
    <t>Nº de painéis</t>
  </si>
  <si>
    <t>Com base na área útil total</t>
  </si>
  <si>
    <t>Área útil total da plataforma (SAG)</t>
  </si>
  <si>
    <t>AuWing</t>
  </si>
  <si>
    <t>(#)</t>
  </si>
  <si>
    <t>Unit</t>
  </si>
  <si>
    <t>Massa do Satélite</t>
  </si>
  <si>
    <t>Massa Equipamento Painel +x</t>
  </si>
  <si>
    <t>Massa Equipamento Painel -x</t>
  </si>
  <si>
    <t>Massa Equipamento Painel +y</t>
  </si>
  <si>
    <t>Massa Equipamento Painel -y</t>
  </si>
  <si>
    <t>Massa Equipamento Painel +z</t>
  </si>
  <si>
    <t>Massa Equipamento Painel -z</t>
  </si>
  <si>
    <t>Massa Interface satélite-lançador</t>
  </si>
  <si>
    <t>Massa equipamento sobre a interface</t>
  </si>
  <si>
    <t>Espessura face sheet +x</t>
  </si>
  <si>
    <t>Espessura face sheet -x</t>
  </si>
  <si>
    <t>Altura do sandwich +x</t>
  </si>
  <si>
    <t>Altura do sandwich -x</t>
  </si>
  <si>
    <t>Dnepr - aceleração longitudinal</t>
  </si>
  <si>
    <t>Dnepr - aceleração lateral</t>
  </si>
  <si>
    <t>Dnepr - frequencia 1° modo lg</t>
  </si>
  <si>
    <t>PSLV - aceleração longitudinal</t>
  </si>
  <si>
    <t>PSLV - aceleração lateral</t>
  </si>
  <si>
    <t>PSLV - frequencia 1° modo lg</t>
  </si>
  <si>
    <t>Rockot - aceleração longitudinal</t>
  </si>
  <si>
    <t>Rockot - aceleração lateral</t>
  </si>
  <si>
    <t>Rockot - frequencia 1° modo lg</t>
  </si>
  <si>
    <t>Taurus - aceleração longitudinal</t>
  </si>
  <si>
    <t>Taurus - aceleração lateral</t>
  </si>
  <si>
    <t>Taurus - frequencia 1° modo lg</t>
  </si>
  <si>
    <t>Vega - aceleração longitudinal</t>
  </si>
  <si>
    <t>Vega - aceleração lateral</t>
  </si>
  <si>
    <t>Vega - frequencia 1° modo lg</t>
  </si>
  <si>
    <t>Hz</t>
  </si>
  <si>
    <t>g</t>
  </si>
  <si>
    <t>Lançador considerado - Dnepr</t>
  </si>
  <si>
    <t>Lançador considerado - PSLV</t>
  </si>
  <si>
    <t>Lançador considerado - Rockot</t>
  </si>
  <si>
    <t>Lançador considerado - Taurus</t>
  </si>
  <si>
    <t>Lançador considerado - Vega</t>
  </si>
  <si>
    <t>Dneprc</t>
  </si>
  <si>
    <t>PSLVc</t>
  </si>
  <si>
    <t>Rockotc</t>
  </si>
  <si>
    <t>Vegac</t>
  </si>
  <si>
    <t>MPmsx</t>
  </si>
  <si>
    <t>Massa Painel +x</t>
  </si>
  <si>
    <t>Massa Painel -x</t>
  </si>
  <si>
    <t>Massa Painel +y</t>
  </si>
  <si>
    <t>Massa Painel -y</t>
  </si>
  <si>
    <t>Massa Painel +z</t>
  </si>
  <si>
    <t>Massa Painel -z</t>
  </si>
  <si>
    <t>MEmsx</t>
  </si>
  <si>
    <t>Efsmsx</t>
  </si>
  <si>
    <t>Aswmsx</t>
  </si>
  <si>
    <t>MPmnx</t>
  </si>
  <si>
    <t>MEmnx</t>
  </si>
  <si>
    <t>Efsmnx</t>
  </si>
  <si>
    <t>Aswmnx</t>
  </si>
  <si>
    <t>MPmsy</t>
  </si>
  <si>
    <t>MEmsy</t>
  </si>
  <si>
    <t>MPmny</t>
  </si>
  <si>
    <t>MEmny</t>
  </si>
  <si>
    <t>MPmsz</t>
  </si>
  <si>
    <t>MEmsz</t>
  </si>
  <si>
    <t>MPmnz</t>
  </si>
  <si>
    <t>MEmnz</t>
  </si>
  <si>
    <t>Espessura face sheet  lateral</t>
  </si>
  <si>
    <t>Altura do sandwich lateral</t>
  </si>
  <si>
    <t>Efslat</t>
  </si>
  <si>
    <t>Aswlat</t>
  </si>
  <si>
    <t>MEsi</t>
  </si>
  <si>
    <t>Misi</t>
  </si>
  <si>
    <t>DneprAlg</t>
  </si>
  <si>
    <t>DneprAlt</t>
  </si>
  <si>
    <t>Dneprf1m</t>
  </si>
  <si>
    <t>PSLVAlg</t>
  </si>
  <si>
    <t>PSLVAlt</t>
  </si>
  <si>
    <t>PSLVf1m</t>
  </si>
  <si>
    <t>RockotAlg</t>
  </si>
  <si>
    <t>RockotAlt</t>
  </si>
  <si>
    <t>Rockotf1m</t>
  </si>
  <si>
    <t>TaurusAlg</t>
  </si>
  <si>
    <t>TaurusAlt</t>
  </si>
  <si>
    <t>Taurusf1m</t>
  </si>
  <si>
    <t>VegaAlg</t>
  </si>
  <si>
    <t>VegaAlt</t>
  </si>
  <si>
    <t>Vegaf1m</t>
  </si>
  <si>
    <t>Quadro estrutural</t>
  </si>
  <si>
    <t>Inclui elementos estruturais de fixação de equipamentos</t>
  </si>
  <si>
    <t>Qe</t>
  </si>
  <si>
    <t>Configuração do frame sobre a interface</t>
  </si>
  <si>
    <t>Cfsi</t>
  </si>
  <si>
    <t>igual a 1 se frame estiver fixado sobre a interface com o lançador</t>
  </si>
  <si>
    <t>TOP PANNEL</t>
  </si>
  <si>
    <t>Desacopl</t>
  </si>
  <si>
    <t>Taurusc</t>
  </si>
  <si>
    <t>Max</t>
  </si>
  <si>
    <t>Min</t>
  </si>
  <si>
    <t>LATERAL PANELS</t>
  </si>
  <si>
    <t>BOTTOM PANEL</t>
  </si>
  <si>
    <t>(g)</t>
  </si>
  <si>
    <t>Face sheet</t>
  </si>
  <si>
    <t>Acel. Long</t>
  </si>
  <si>
    <t>Acel. Lat</t>
  </si>
  <si>
    <t>Sandwich width</t>
  </si>
  <si>
    <t>Area Eixo X da Plataform</t>
  </si>
  <si>
    <t>Area Eixo Y da Plataform</t>
  </si>
  <si>
    <t>Area Eixo Z da Plataform</t>
  </si>
  <si>
    <t>AxP</t>
  </si>
  <si>
    <t>AyP</t>
  </si>
  <si>
    <t>AzP</t>
  </si>
  <si>
    <t>(Hz)</t>
  </si>
  <si>
    <t>LATERAL</t>
  </si>
  <si>
    <t>TOTAL</t>
  </si>
  <si>
    <t>MASSA DE TANQUE</t>
  </si>
  <si>
    <t>MASSA RODA REAÇÃO</t>
  </si>
  <si>
    <t>MASSA BOBINA MAGNÉTICA</t>
  </si>
  <si>
    <t>BATERIA</t>
  </si>
  <si>
    <t>SEMPRE DUAS ASAS</t>
  </si>
  <si>
    <t>1 ou 2 ASAS</t>
  </si>
  <si>
    <t># Painéis (*)</t>
  </si>
  <si>
    <t>Massa Total</t>
  </si>
  <si>
    <t># Painéis</t>
  </si>
  <si>
    <t>Massa fixa</t>
  </si>
  <si>
    <t>(*) Sempre par</t>
  </si>
  <si>
    <t>EFEITO DOS LANÇADORES</t>
  </si>
  <si>
    <t>TANQUE</t>
  </si>
  <si>
    <t>RODAS</t>
  </si>
  <si>
    <t>BOBINAS MAG.</t>
  </si>
  <si>
    <t>ESTRUTURA</t>
  </si>
  <si>
    <t>MASSA SATÉLITE</t>
  </si>
  <si>
    <t>MASSA PLATAFORMA</t>
  </si>
  <si>
    <t>MASSA</t>
  </si>
  <si>
    <t>Impulso Específico Propulsores</t>
  </si>
  <si>
    <t>Tanque é uma herança tecnológica</t>
  </si>
  <si>
    <t>Roda de reação é uma herança tecnológica</t>
  </si>
  <si>
    <t>Bobina magnética é uma herança tecnológica</t>
  </si>
  <si>
    <t>Bateria é uma herança tecnológica</t>
  </si>
  <si>
    <t>Painel solar é uma herança tecnológica</t>
  </si>
  <si>
    <t>RRHT</t>
  </si>
  <si>
    <t>BMHT</t>
  </si>
  <si>
    <t>BaHT</t>
  </si>
  <si>
    <t>PSHT</t>
  </si>
  <si>
    <t>0=herança tecnológica habilitada</t>
  </si>
  <si>
    <t>Estrutura é uma herança tecnológica</t>
  </si>
  <si>
    <t>ESHT</t>
  </si>
  <si>
    <t>TQHT</t>
  </si>
  <si>
    <t>Componentes Eletrônicos estocados</t>
  </si>
  <si>
    <t>CEE</t>
  </si>
  <si>
    <t>0=componentes estocados blindagem desconsiderada</t>
  </si>
  <si>
    <t>Usado para o drag</t>
  </si>
  <si>
    <t>Usado para o torque - media orbital (com sinal) máxima no ano</t>
  </si>
  <si>
    <t>Espessura Mín</t>
  </si>
  <si>
    <t>Dimen. Atual(Max)</t>
  </si>
  <si>
    <t>Densidade da Colmeia</t>
  </si>
  <si>
    <t>DenCol</t>
  </si>
  <si>
    <t>I/F quadro</t>
  </si>
  <si>
    <t>I/F painel</t>
  </si>
  <si>
    <t>Acel. Long - I/F no Painel</t>
  </si>
  <si>
    <t>Desacopl - I/F no Painel</t>
  </si>
  <si>
    <r>
      <t>a</t>
    </r>
    <r>
      <rPr>
        <vertAlign val="subscript"/>
        <sz val="11"/>
        <color theme="1"/>
        <rFont val="Calibri"/>
        <family val="2"/>
        <scheme val="minor"/>
      </rPr>
      <t>cL2</t>
    </r>
  </si>
  <si>
    <r>
      <t>a</t>
    </r>
    <r>
      <rPr>
        <vertAlign val="subscript"/>
        <sz val="11"/>
        <color theme="1"/>
        <rFont val="Calibri"/>
        <family val="2"/>
        <scheme val="minor"/>
      </rPr>
      <t>cL1</t>
    </r>
  </si>
  <si>
    <r>
      <t>t</t>
    </r>
    <r>
      <rPr>
        <vertAlign val="subscript"/>
        <sz val="11"/>
        <color theme="1"/>
        <rFont val="Calibri"/>
        <family val="2"/>
        <scheme val="minor"/>
      </rPr>
      <t>1</t>
    </r>
  </si>
  <si>
    <r>
      <t>t</t>
    </r>
    <r>
      <rPr>
        <vertAlign val="subscript"/>
        <sz val="11"/>
        <color theme="1"/>
        <rFont val="Calibri"/>
        <family val="2"/>
        <scheme val="minor"/>
      </rPr>
      <t>2</t>
    </r>
  </si>
  <si>
    <t>Tabela de dose acumulada na vida útil (Vu) para cada uma das órbitas (inclinação/altitude km) para 2013 (max solar) incluindo a Margem</t>
  </si>
  <si>
    <t>TID absorvido blindagem padrão, Órbitas não cobertas pela blindagem padrão (=1) e blindagem adicional</t>
  </si>
  <si>
    <t>TID absorv. blind. padrão</t>
  </si>
  <si>
    <t>Tabela de dose acumulada em rad  por ano para cada uma das órbitas (inclinação/altitude km) para 2013 (max solar) - blindagem com modelo esférico</t>
  </si>
  <si>
    <t>Base de 20x20x6 cm - duas placas de blindagem do tamanho das placas de CI</t>
  </si>
  <si>
    <t>Base de 15x15x20  cm- duas placas de blindagem do tamanho das placas de CI</t>
  </si>
  <si>
    <t>Base de 15x15x30 cm - duas placas de blindagem do tamanho das placas de CI</t>
  </si>
  <si>
    <t>Base de 15x15x6 cm - duas placas de blindagem do tamanho das placas de CI</t>
  </si>
  <si>
    <t>Base de 15x15x20  cm - duas placas de blindagem do tamanho das placas de CI</t>
  </si>
  <si>
    <t>SegDia</t>
  </si>
  <si>
    <t>Densidade Hidrazina</t>
  </si>
  <si>
    <t>DenHidra</t>
  </si>
  <si>
    <t>Inclui elementos estruturais de fixação de equipamentos/Exclui equiptos sobre I/F</t>
  </si>
  <si>
    <t>Painel perpendicular ao eixo de rotação das Asas/A821100 AIP 001 05 MMP Mechanical Architecture Description/Dados Sebastião Varotto</t>
  </si>
  <si>
    <t xml:space="preserve">Dnepr User's Guide </t>
  </si>
  <si>
    <t>PSLV ISRO User Manual</t>
  </si>
  <si>
    <t>Rockot_user_guide_1999</t>
  </si>
  <si>
    <t>taurus-user-guide_4</t>
  </si>
  <si>
    <t>VEGAUsersManual</t>
  </si>
  <si>
    <t>% de reserva de capacidade - Estabelecido como referencia</t>
  </si>
  <si>
    <t>% reserva de propelente aplicada globalmente / estabelecido como referencia</t>
  </si>
  <si>
    <t>ZARM MT30-2-CGS</t>
  </si>
  <si>
    <t>RSI 12-75</t>
  </si>
  <si>
    <r>
      <t xml:space="preserve">r400 </t>
    </r>
    <r>
      <rPr>
        <sz val="11"/>
        <color theme="1"/>
        <rFont val="Arial"/>
        <family val="2"/>
      </rPr>
      <t>- Densidade atmosférica 400 km - 2600°K</t>
    </r>
  </si>
  <si>
    <r>
      <t>r1500</t>
    </r>
    <r>
      <rPr>
        <sz val="11"/>
        <color theme="1"/>
        <rFont val="Arial"/>
        <family val="2"/>
      </rPr>
      <t xml:space="preserve"> - Densidade atmosférica 1500 km- 2600°K</t>
    </r>
  </si>
  <si>
    <r>
      <t xml:space="preserve">r400 </t>
    </r>
    <r>
      <rPr>
        <sz val="11"/>
        <color theme="1"/>
        <rFont val="Arial"/>
        <family val="2"/>
      </rPr>
      <t>- Densidade atmosférica 400 km - 1400°K</t>
    </r>
  </si>
  <si>
    <r>
      <t>r1500</t>
    </r>
    <r>
      <rPr>
        <sz val="11"/>
        <color theme="1"/>
        <rFont val="Arial"/>
        <family val="2"/>
      </rPr>
      <t xml:space="preserve"> - Densidade atmosférica 1500 km- 1400°K</t>
    </r>
  </si>
  <si>
    <r>
      <t xml:space="preserve">r400 </t>
    </r>
    <r>
      <rPr>
        <sz val="11"/>
        <color theme="1"/>
        <rFont val="Arial"/>
        <family val="2"/>
      </rPr>
      <t>- Densidade atmosférica 400 km -2000°K</t>
    </r>
  </si>
  <si>
    <r>
      <t>r1500</t>
    </r>
    <r>
      <rPr>
        <sz val="11"/>
        <color theme="1"/>
        <rFont val="Arial"/>
        <family val="2"/>
      </rPr>
      <t xml:space="preserve"> - Densidade atmosférica 1500 km- 2000°K</t>
    </r>
  </si>
  <si>
    <r>
      <t xml:space="preserve">r400 </t>
    </r>
    <r>
      <rPr>
        <sz val="11"/>
        <color theme="1"/>
        <rFont val="Arial"/>
        <family val="2"/>
      </rPr>
      <t>- Densidade atmosférica 400 km - 800°K</t>
    </r>
  </si>
  <si>
    <r>
      <t>r1500</t>
    </r>
    <r>
      <rPr>
        <sz val="11"/>
        <color theme="1"/>
        <rFont val="Arial"/>
        <family val="2"/>
      </rPr>
      <t xml:space="preserve"> - Densidade atmosférica 1500 km- 800°K</t>
    </r>
  </si>
  <si>
    <t>R_400_8</t>
  </si>
  <si>
    <t>R_700_8</t>
  </si>
  <si>
    <t>R_1500_8</t>
  </si>
  <si>
    <t>R_400_14</t>
  </si>
  <si>
    <t>R_700_14</t>
  </si>
  <si>
    <t>R_1500_14</t>
  </si>
  <si>
    <t>R_400_20</t>
  </si>
  <si>
    <t>R_700_20</t>
  </si>
  <si>
    <t>R_1500_20</t>
  </si>
  <si>
    <t>R_400_26</t>
  </si>
  <si>
    <t>R_700_26</t>
  </si>
  <si>
    <t>R_1500_26</t>
  </si>
  <si>
    <t>400 km - modelo simples não varia com a órbita, o horário, apenas com a altura</t>
  </si>
  <si>
    <t>700 km - modelo simples não varia com a órbita, o horário, apenas com a altura</t>
  </si>
  <si>
    <t>1500 km - modelo simples não varia com a órbita, o horário, apenas com a altura</t>
  </si>
  <si>
    <t>Retardo do cruzamento no equador</t>
  </si>
  <si>
    <t>Caso de exemplo heliosíncrono - em segundos</t>
  </si>
  <si>
    <t>dmax</t>
  </si>
  <si>
    <t>aponto</t>
  </si>
  <si>
    <t>da/dt</t>
  </si>
  <si>
    <t xml:space="preserve">Erro máximo do semi-eixo a partir retardo </t>
  </si>
  <si>
    <t>Para a PMM órbita de 600 km</t>
  </si>
  <si>
    <t>Temperatura da atmosfera</t>
  </si>
  <si>
    <t>tatm</t>
  </si>
  <si>
    <r>
      <t xml:space="preserve">r400 </t>
    </r>
    <r>
      <rPr>
        <sz val="11"/>
        <color theme="1"/>
        <rFont val="Arial"/>
        <family val="2"/>
      </rPr>
      <t>- Densidade atmosférica 400 km - opção temp.</t>
    </r>
  </si>
  <si>
    <r>
      <t>r1500</t>
    </r>
    <r>
      <rPr>
        <sz val="11"/>
        <color theme="1"/>
        <rFont val="Arial"/>
        <family val="2"/>
      </rPr>
      <t xml:space="preserve"> - Densidade atmosférica 1500 km - opção temp.</t>
    </r>
  </si>
  <si>
    <t>R_400</t>
  </si>
  <si>
    <t>R_700</t>
  </si>
  <si>
    <t>R_1500</t>
  </si>
  <si>
    <r>
      <t xml:space="preserve">r700 </t>
    </r>
    <r>
      <rPr>
        <sz val="11"/>
        <color theme="1"/>
        <rFont val="Arial"/>
        <family val="2"/>
      </rPr>
      <t>- Densidade atmosférica 700 km- 800°K</t>
    </r>
  </si>
  <si>
    <r>
      <t xml:space="preserve">r700 </t>
    </r>
    <r>
      <rPr>
        <sz val="11"/>
        <color theme="1"/>
        <rFont val="Arial"/>
        <family val="2"/>
      </rPr>
      <t>- Densidade atmosférica 700 km - opção temp.</t>
    </r>
  </si>
  <si>
    <r>
      <t xml:space="preserve">r700 </t>
    </r>
    <r>
      <rPr>
        <sz val="11"/>
        <color theme="1"/>
        <rFont val="Arial"/>
        <family val="2"/>
      </rPr>
      <t>- Densidade atmosférica 700 km- 2000°K</t>
    </r>
  </si>
  <si>
    <r>
      <t xml:space="preserve">r700 </t>
    </r>
    <r>
      <rPr>
        <sz val="11"/>
        <color theme="1"/>
        <rFont val="Arial"/>
        <family val="2"/>
      </rPr>
      <t>- Densidade atmosférica 700 km- 2600°K</t>
    </r>
  </si>
  <si>
    <r>
      <t xml:space="preserve">r700 </t>
    </r>
    <r>
      <rPr>
        <sz val="11"/>
        <color theme="1"/>
        <rFont val="Arial"/>
        <family val="2"/>
      </rPr>
      <t>- Densidade atmosférica 700 km- 1400°K</t>
    </r>
  </si>
  <si>
    <t>Não alterar a posição dos itens a seguir até a linha 18 inclusive</t>
  </si>
  <si>
    <t>No TID que o equipto tolera está considerado a sua própria caixa e adicional o face sheet</t>
  </si>
  <si>
    <t>Inclinação 0</t>
  </si>
  <si>
    <t>Inclinação 12</t>
  </si>
  <si>
    <t>10 horas</t>
  </si>
  <si>
    <t>12 horas</t>
  </si>
  <si>
    <t>Inclinação 25</t>
  </si>
  <si>
    <t>Não deslocar por inserção ou exclusão de linhas - depende do nº da linha</t>
  </si>
  <si>
    <t>100% corresponde ao valor sem margem</t>
  </si>
  <si>
    <t>CARACTERÍSTICAS DOS LANÇADORES</t>
  </si>
  <si>
    <t>Incorpora o módulo de carga útil</t>
  </si>
  <si>
    <t>Conf. Tanques:</t>
  </si>
  <si>
    <t>Conf. Rodas:</t>
  </si>
  <si>
    <t>Inef:</t>
  </si>
  <si>
    <t>Min. Estab.:</t>
  </si>
  <si>
    <t>Inef.</t>
  </si>
  <si>
    <t>Config. Bateria</t>
  </si>
  <si>
    <t>M Fx</t>
  </si>
  <si>
    <t>Blindagem mínima caixas adquiridas</t>
  </si>
  <si>
    <t>TIDbcxa</t>
  </si>
  <si>
    <t xml:space="preserve">Cobre os dois lados - Foi considerada como margem </t>
  </si>
  <si>
    <t>Inef</t>
  </si>
  <si>
    <t xml:space="preserve">MASSA DIRETA INEFICIÊNCIA </t>
  </si>
  <si>
    <t>MASSA TOTAL INEFICIÊNCIA</t>
  </si>
  <si>
    <t>BLINDAGEM (MASSA INDIRETA)</t>
  </si>
  <si>
    <t>% INEF. DIRETA PLATAFORMA</t>
  </si>
  <si>
    <t>% INEF. DIRETA SATÉLITE</t>
  </si>
  <si>
    <t>% INEF. TOTAL PLATAFORMA</t>
  </si>
  <si>
    <t>% INEF. TOTAL SATÉLITE</t>
  </si>
  <si>
    <t>APONTAM.</t>
  </si>
  <si>
    <t>ASAS</t>
  </si>
  <si>
    <t>APONT.</t>
  </si>
  <si>
    <t>BAIXA INC</t>
  </si>
  <si>
    <t>BAIXA INCL</t>
  </si>
  <si>
    <t>DETERMINAÇÃO DA MASSA A SER INCORPORADA NA FORMA DE PLACAS DE BLINDAGEM</t>
  </si>
  <si>
    <t>PAINEL</t>
  </si>
  <si>
    <t>EFEITO</t>
  </si>
  <si>
    <t>MASSA TOTAL (kg)</t>
  </si>
  <si>
    <t>MASSA POR PAINEL (kg)</t>
  </si>
  <si>
    <t>TOPO</t>
  </si>
  <si>
    <t>FUNDO</t>
  </si>
  <si>
    <t>Aceleração longitudinal</t>
  </si>
  <si>
    <t>Aceleração lateral</t>
  </si>
  <si>
    <t>Acel. Long - I/F no Quadro</t>
  </si>
  <si>
    <t>Desacopl - I/F no Quadro</t>
  </si>
  <si>
    <t>Min. Desc. Sada</t>
  </si>
  <si>
    <r>
      <t xml:space="preserve">ALT. ORBITA </t>
    </r>
    <r>
      <rPr>
        <sz val="11"/>
        <color theme="1"/>
        <rFont val="Calibri"/>
        <family val="2"/>
        <scheme val="minor"/>
      </rPr>
      <t>(km)</t>
    </r>
  </si>
  <si>
    <t>BAIX INC</t>
  </si>
  <si>
    <t>ORB.</t>
  </si>
  <si>
    <t>ORBITA</t>
  </si>
  <si>
    <t>Quantidade de caixas</t>
  </si>
  <si>
    <t>Densidade da colmeia</t>
  </si>
  <si>
    <t>Fator CReB</t>
  </si>
  <si>
    <t>Fator de Relevância da Blindagem</t>
  </si>
  <si>
    <t>FReB</t>
  </si>
  <si>
    <t xml:space="preserve">Aumenta a importância da massa de blindagem </t>
  </si>
  <si>
    <t xml:space="preserve">BLINDAGEM </t>
  </si>
  <si>
    <t>Massa Atual</t>
  </si>
  <si>
    <t>Massa Min.</t>
  </si>
  <si>
    <t>Caso Minimo</t>
  </si>
  <si>
    <t>Caso Maximo</t>
  </si>
  <si>
    <t>Apontamento Nadir</t>
  </si>
  <si>
    <t>Apontamento Solar</t>
  </si>
  <si>
    <t>HELIO-SÍNCRONA</t>
  </si>
  <si>
    <t>10H</t>
  </si>
  <si>
    <t>12H</t>
  </si>
  <si>
    <t>MÁXIMO DE DIMENSIONAMENTO</t>
  </si>
  <si>
    <t>INEFICIÊNCIA</t>
  </si>
  <si>
    <t>CASO MÁXIMO</t>
  </si>
  <si>
    <t>Equatorial 12</t>
  </si>
  <si>
    <t>Equatorial zero</t>
  </si>
  <si>
    <t>Equatorial 25</t>
  </si>
  <si>
    <t>DETERMINAÇÃO DO MÍNIMO POR CASO - NADIR</t>
  </si>
  <si>
    <t>DETERMINAÇÃO DO MÍNIMO POR CASO - SOLAR</t>
  </si>
  <si>
    <t>MÍNIMO NADIR</t>
  </si>
  <si>
    <t>MÍNIMO SOLAR SEM SADA</t>
  </si>
  <si>
    <t>MÍNIMO SOLAR COM SADA</t>
  </si>
  <si>
    <t>MASSA INEFICIENCIA MENOR CASO</t>
  </si>
  <si>
    <t>% INEF. MENOR CASO - PLATAFORMA</t>
  </si>
  <si>
    <t>% INEF. MENOR CASO - SATÉLITE</t>
  </si>
  <si>
    <t xml:space="preserve">Utiliza-se o maior valor no ano do coseno médio (com sinal) da órbita </t>
  </si>
  <si>
    <t>Valor Pré</t>
  </si>
  <si>
    <t>XXX</t>
  </si>
  <si>
    <t>Rodas</t>
  </si>
  <si>
    <t>Referencia</t>
  </si>
  <si>
    <t>Capacidade</t>
  </si>
  <si>
    <t>Massa Tanque</t>
  </si>
  <si>
    <t>Massa Especif.</t>
  </si>
  <si>
    <t>Peso Config.</t>
  </si>
  <si>
    <t>ASAS SOLARES</t>
  </si>
  <si>
    <r>
      <t xml:space="preserve">PAINEIS SOLARES </t>
    </r>
    <r>
      <rPr>
        <sz val="11"/>
        <color theme="1"/>
        <rFont val="Calibri"/>
        <family val="2"/>
        <scheme val="minor"/>
      </rPr>
      <t>(Somente área painéis)</t>
    </r>
  </si>
  <si>
    <t>DETERMINAÇÃO DA ESPESSURA DE BLINDAGEM ADICIONAL</t>
  </si>
  <si>
    <r>
      <t>m3/sec</t>
    </r>
    <r>
      <rPr>
        <vertAlign val="superscript"/>
        <sz val="11"/>
        <color theme="1"/>
        <rFont val="Calibri"/>
        <family val="2"/>
        <scheme val="minor"/>
      </rPr>
      <t>2</t>
    </r>
  </si>
  <si>
    <r>
      <t>m/s</t>
    </r>
    <r>
      <rPr>
        <vertAlign val="superscript"/>
        <sz val="11"/>
        <color theme="1"/>
        <rFont val="Calibri"/>
        <family val="2"/>
        <scheme val="minor"/>
      </rPr>
      <t>2</t>
    </r>
  </si>
  <si>
    <r>
      <t>kg/m</t>
    </r>
    <r>
      <rPr>
        <vertAlign val="superscript"/>
        <sz val="11"/>
        <color theme="1"/>
        <rFont val="Calibri"/>
        <family val="2"/>
        <scheme val="minor"/>
      </rPr>
      <t>3</t>
    </r>
  </si>
  <si>
    <t>Raio da Terra</t>
  </si>
  <si>
    <t>TID</t>
  </si>
  <si>
    <t>Dose Ionizante Total</t>
  </si>
  <si>
    <t>(kg 1)</t>
  </si>
  <si>
    <t>(kg 2)</t>
  </si>
  <si>
    <t>(kg 2/kg 1)</t>
  </si>
  <si>
    <t>Tanque</t>
  </si>
  <si>
    <t>Modelo</t>
  </si>
  <si>
    <t>Massa Propelente</t>
  </si>
  <si>
    <t>Massa Específica</t>
  </si>
  <si>
    <t>Média ponderada da massa específica</t>
  </si>
  <si>
    <t>Ponderação</t>
  </si>
  <si>
    <t>Bobinas de Torque Magnético</t>
  </si>
  <si>
    <t>Massa</t>
  </si>
  <si>
    <t>(*) Considerada a capacidade mínima</t>
  </si>
  <si>
    <t>Baterias</t>
  </si>
  <si>
    <t>Capacidade Específica Média Ponderada</t>
  </si>
  <si>
    <t>(kg/Nms)</t>
  </si>
  <si>
    <r>
      <t>kg/(Am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</si>
  <si>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t>(kg/Ah)</t>
  </si>
  <si>
    <t>Asas Painéis Solares</t>
  </si>
  <si>
    <t>Massa líquida da Superfície</t>
  </si>
  <si>
    <t>Massa fixa por asa (*2)</t>
  </si>
  <si>
    <t>Massa Sada por asa (*3)</t>
  </si>
  <si>
    <t>Asas por Painel (*1)</t>
  </si>
  <si>
    <r>
      <t>(kg/m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</si>
  <si>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t>(*1) Inclui estrutura, células, fiação, cobertura vidro, dispositivos de proteção, dobradiças, etc.</t>
  </si>
  <si>
    <t>(*2) Inclui yoke, hold-down, etc.</t>
  </si>
  <si>
    <t xml:space="preserve">(*3) Inclui o Solar Array Drive Mass, conectores e cabos </t>
  </si>
  <si>
    <t xml:space="preserve">Qtde tanques </t>
  </si>
  <si>
    <t xml:space="preserve">Qtde. Rodas </t>
  </si>
  <si>
    <t>Config. Bobinas</t>
  </si>
  <si>
    <t xml:space="preserve">Qtde </t>
  </si>
  <si>
    <t>Qtde baterias</t>
  </si>
  <si>
    <t>Qbat</t>
  </si>
  <si>
    <t xml:space="preserve">Quantidade de rodas </t>
  </si>
  <si>
    <t>Quantidade de bobinas</t>
  </si>
  <si>
    <t>Valor calculado a partir dos dois itens que seguem</t>
  </si>
  <si>
    <t>Valor fixado ou copiado do cálculo para órbitas heliosíncrona (item abaixo)</t>
  </si>
  <si>
    <t>0=800; 1=1400; 2=2000; 3=2600°K Temperatura da exoesfera para densidade - modelo Jacchia</t>
  </si>
  <si>
    <t>Coeficiente de arrasto</t>
  </si>
  <si>
    <t>Massa satélite</t>
  </si>
  <si>
    <t>Massa do painel de topo +x sem equipamentos</t>
  </si>
  <si>
    <t>Espessura da folha de face do painel +x</t>
  </si>
  <si>
    <t>Painel de fundo (-x) massa</t>
  </si>
  <si>
    <t xml:space="preserve"> +x Inclui equipamentos e elementos estruturais de fixação de equipamentos</t>
  </si>
  <si>
    <t>Massa do quadro</t>
  </si>
  <si>
    <t>Valor 1 = lançador considerado</t>
  </si>
  <si>
    <t>Origem no centro da interface com o veículo lançador na folha de face externa do painel de fundo</t>
  </si>
  <si>
    <t>TID (dose total ionizante em ingles) reduzido para capturar as ineficiências</t>
  </si>
  <si>
    <r>
      <t>cm</t>
    </r>
    <r>
      <rPr>
        <vertAlign val="superscript"/>
        <sz val="11"/>
        <color theme="1"/>
        <rFont val="Calibri"/>
        <family val="2"/>
        <scheme val="minor"/>
      </rPr>
      <t>2</t>
    </r>
  </si>
  <si>
    <t>Painel apontado para Nadir</t>
  </si>
  <si>
    <t>Quantidade de baterias (rendundância)</t>
  </si>
  <si>
    <t>Qtde tanques (redundância)</t>
  </si>
  <si>
    <t>Qtde de rodas embarcadas</t>
  </si>
  <si>
    <t>Qtde bobinas embarcadas</t>
  </si>
  <si>
    <t>krad</t>
  </si>
  <si>
    <t>reduzido para capturar as ineficiências (rad radiation absorved dose)</t>
  </si>
</sst>
</file>

<file path=xl/styles.xml><?xml version="1.0" encoding="utf-8"?>
<styleSheet xmlns="http://schemas.openxmlformats.org/spreadsheetml/2006/main">
  <numFmts count="10">
    <numFmt numFmtId="43" formatCode="_-* #,##0.00_-;\-* #,##0.00_-;_-* &quot;-&quot;??_-;_-@_-"/>
    <numFmt numFmtId="164" formatCode="0.00000"/>
    <numFmt numFmtId="165" formatCode="0.000000"/>
    <numFmt numFmtId="166" formatCode="0.000"/>
    <numFmt numFmtId="167" formatCode="0.0000"/>
    <numFmt numFmtId="168" formatCode="0.0000E+00"/>
    <numFmt numFmtId="169" formatCode="0.000E+00"/>
    <numFmt numFmtId="170" formatCode="0.0"/>
    <numFmt numFmtId="171" formatCode="0.0%"/>
    <numFmt numFmtId="172" formatCode="_-* #,##0.000_-;\-* #,##0.000_-;_-* &quot;-&quot;??_-;_-@_-"/>
  </numFmts>
  <fonts count="21">
    <font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vertAlign val="subscript"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1"/>
      <color theme="1"/>
      <name val="Symbol"/>
      <family val="1"/>
      <charset val="2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vertAlign val="super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12"/>
      <color theme="1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6" tint="0.39997558519241921"/>
        <bgColor indexed="64"/>
      </patternFill>
    </fill>
  </fills>
  <borders count="6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219">
    <xf numFmtId="0" fontId="0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665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0" fillId="0" borderId="0" xfId="0" applyAlignment="1">
      <alignment horizontal="right"/>
    </xf>
    <xf numFmtId="0" fontId="3" fillId="0" borderId="0" xfId="0" applyFont="1"/>
    <xf numFmtId="11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9" fontId="0" fillId="0" borderId="0" xfId="0" applyNumberFormat="1"/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2" fontId="0" fillId="0" borderId="0" xfId="0" applyNumberFormat="1"/>
    <xf numFmtId="164" fontId="0" fillId="0" borderId="0" xfId="0" applyNumberFormat="1"/>
    <xf numFmtId="165" fontId="0" fillId="0" borderId="0" xfId="0" applyNumberFormat="1"/>
    <xf numFmtId="1" fontId="0" fillId="0" borderId="0" xfId="0" applyNumberFormat="1"/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0" fillId="0" borderId="0" xfId="0" applyFont="1"/>
    <xf numFmtId="9" fontId="3" fillId="0" borderId="0" xfId="1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left"/>
    </xf>
    <xf numFmtId="2" fontId="0" fillId="0" borderId="0" xfId="0" applyNumberFormat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66" fontId="0" fillId="0" borderId="0" xfId="0" applyNumberFormat="1"/>
    <xf numFmtId="166" fontId="0" fillId="0" borderId="0" xfId="0" applyNumberFormat="1" applyFill="1"/>
    <xf numFmtId="167" fontId="0" fillId="0" borderId="0" xfId="0" applyNumberFormat="1"/>
    <xf numFmtId="0" fontId="0" fillId="0" borderId="0" xfId="0" applyFill="1"/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2" fontId="0" fillId="0" borderId="4" xfId="0" applyNumberFormat="1" applyBorder="1"/>
    <xf numFmtId="2" fontId="0" fillId="0" borderId="0" xfId="0" applyNumberFormat="1" applyBorder="1"/>
    <xf numFmtId="2" fontId="0" fillId="0" borderId="5" xfId="0" applyNumberFormat="1" applyBorder="1"/>
    <xf numFmtId="166" fontId="0" fillId="0" borderId="4" xfId="0" applyNumberFormat="1" applyBorder="1"/>
    <xf numFmtId="166" fontId="0" fillId="0" borderId="5" xfId="0" applyNumberFormat="1" applyBorder="1"/>
    <xf numFmtId="166" fontId="0" fillId="0" borderId="4" xfId="0" applyNumberFormat="1" applyFill="1" applyBorder="1"/>
    <xf numFmtId="166" fontId="0" fillId="0" borderId="0" xfId="0" applyNumberFormat="1" applyFill="1" applyBorder="1"/>
    <xf numFmtId="2" fontId="0" fillId="0" borderId="4" xfId="0" applyNumberFormat="1" applyFill="1" applyBorder="1"/>
    <xf numFmtId="2" fontId="0" fillId="0" borderId="0" xfId="0" applyNumberFormat="1" applyFill="1" applyBorder="1"/>
    <xf numFmtId="166" fontId="0" fillId="0" borderId="7" xfId="0" applyNumberFormat="1" applyFill="1" applyBorder="1"/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2" fontId="0" fillId="0" borderId="5" xfId="0" applyNumberFormat="1" applyFill="1" applyBorder="1"/>
    <xf numFmtId="0" fontId="0" fillId="0" borderId="1" xfId="0" applyBorder="1"/>
    <xf numFmtId="0" fontId="3" fillId="0" borderId="2" xfId="0" applyFont="1" applyBorder="1" applyAlignment="1"/>
    <xf numFmtId="0" fontId="3" fillId="0" borderId="3" xfId="0" applyFont="1" applyBorder="1" applyAlignment="1"/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/>
    <xf numFmtId="0" fontId="0" fillId="0" borderId="5" xfId="0" applyBorder="1"/>
    <xf numFmtId="0" fontId="0" fillId="0" borderId="0" xfId="0" applyFill="1" applyBorder="1"/>
    <xf numFmtId="166" fontId="0" fillId="0" borderId="8" xfId="0" applyNumberFormat="1" applyBorder="1"/>
    <xf numFmtId="0" fontId="0" fillId="0" borderId="4" xfId="0" applyBorder="1"/>
    <xf numFmtId="166" fontId="0" fillId="0" borderId="6" xfId="0" applyNumberFormat="1" applyBorder="1"/>
    <xf numFmtId="2" fontId="0" fillId="0" borderId="7" xfId="0" applyNumberFormat="1" applyBorder="1"/>
    <xf numFmtId="2" fontId="0" fillId="0" borderId="8" xfId="0" applyNumberFormat="1" applyBorder="1"/>
    <xf numFmtId="2" fontId="0" fillId="0" borderId="7" xfId="0" applyNumberFormat="1" applyFill="1" applyBorder="1"/>
    <xf numFmtId="2" fontId="0" fillId="0" borderId="8" xfId="0" applyNumberFormat="1" applyFill="1" applyBorder="1"/>
    <xf numFmtId="0" fontId="0" fillId="0" borderId="3" xfId="0" applyBorder="1"/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1" fontId="0" fillId="0" borderId="5" xfId="0" applyNumberFormat="1" applyBorder="1"/>
    <xf numFmtId="165" fontId="0" fillId="0" borderId="5" xfId="0" applyNumberFormat="1" applyBorder="1"/>
    <xf numFmtId="0" fontId="0" fillId="0" borderId="6" xfId="0" applyBorder="1" applyAlignment="1">
      <alignment horizontal="right"/>
    </xf>
    <xf numFmtId="1" fontId="0" fillId="0" borderId="8" xfId="0" applyNumberFormat="1" applyBorder="1"/>
    <xf numFmtId="0" fontId="0" fillId="0" borderId="6" xfId="0" applyBorder="1"/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9" fontId="0" fillId="0" borderId="0" xfId="1" applyFont="1" applyAlignment="1">
      <alignment horizontal="center"/>
    </xf>
    <xf numFmtId="168" fontId="0" fillId="0" borderId="0" xfId="0" applyNumberFormat="1"/>
    <xf numFmtId="169" fontId="0" fillId="0" borderId="0" xfId="0" applyNumberFormat="1"/>
    <xf numFmtId="1" fontId="0" fillId="0" borderId="0" xfId="1" applyNumberFormat="1" applyFont="1"/>
    <xf numFmtId="0" fontId="3" fillId="0" borderId="0" xfId="0" applyFont="1" applyAlignment="1">
      <alignment horizontal="left"/>
    </xf>
    <xf numFmtId="169" fontId="0" fillId="0" borderId="0" xfId="0" applyNumberFormat="1" applyFill="1"/>
    <xf numFmtId="169" fontId="0" fillId="0" borderId="0" xfId="0" applyNumberFormat="1" applyFont="1"/>
    <xf numFmtId="170" fontId="0" fillId="0" borderId="0" xfId="0" applyNumberFormat="1"/>
    <xf numFmtId="170" fontId="0" fillId="0" borderId="0" xfId="0" applyNumberFormat="1" applyFont="1"/>
    <xf numFmtId="1" fontId="0" fillId="0" borderId="0" xfId="0" applyNumberFormat="1" applyFont="1"/>
    <xf numFmtId="0" fontId="0" fillId="0" borderId="0" xfId="0" applyAlignment="1">
      <alignment horizontal="center"/>
    </xf>
    <xf numFmtId="9" fontId="0" fillId="0" borderId="0" xfId="0" applyNumberFormat="1" applyFill="1"/>
    <xf numFmtId="0" fontId="2" fillId="0" borderId="0" xfId="0" applyFont="1" applyFill="1"/>
    <xf numFmtId="2" fontId="0" fillId="0" borderId="0" xfId="0" applyNumberFormat="1" applyFill="1"/>
    <xf numFmtId="0" fontId="3" fillId="0" borderId="0" xfId="0" applyFont="1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11" xfId="0" applyBorder="1"/>
    <xf numFmtId="2" fontId="0" fillId="5" borderId="22" xfId="0" applyNumberFormat="1" applyFill="1" applyBorder="1"/>
    <xf numFmtId="0" fontId="3" fillId="0" borderId="11" xfId="0" applyFont="1" applyBorder="1"/>
    <xf numFmtId="0" fontId="3" fillId="0" borderId="0" xfId="0" applyFont="1" applyFill="1" applyBorder="1" applyAlignment="1">
      <alignment horizontal="right"/>
    </xf>
    <xf numFmtId="170" fontId="0" fillId="0" borderId="0" xfId="0" applyNumberFormat="1" applyFill="1" applyBorder="1"/>
    <xf numFmtId="0" fontId="3" fillId="0" borderId="16" xfId="0" applyFont="1" applyBorder="1"/>
    <xf numFmtId="0" fontId="15" fillId="0" borderId="11" xfId="0" applyFont="1" applyBorder="1"/>
    <xf numFmtId="0" fontId="15" fillId="0" borderId="0" xfId="0" applyFont="1" applyBorder="1"/>
    <xf numFmtId="0" fontId="15" fillId="0" borderId="0" xfId="0" applyFont="1"/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9" xfId="0" applyFill="1" applyBorder="1"/>
    <xf numFmtId="0" fontId="3" fillId="2" borderId="30" xfId="0" applyFont="1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0" fillId="0" borderId="32" xfId="0" applyBorder="1"/>
    <xf numFmtId="0" fontId="3" fillId="0" borderId="33" xfId="0" applyFont="1" applyBorder="1"/>
    <xf numFmtId="2" fontId="0" fillId="2" borderId="37" xfId="0" applyNumberFormat="1" applyFill="1" applyBorder="1"/>
    <xf numFmtId="0" fontId="0" fillId="0" borderId="36" xfId="0" applyBorder="1"/>
    <xf numFmtId="0" fontId="0" fillId="0" borderId="38" xfId="0" applyBorder="1"/>
    <xf numFmtId="0" fontId="0" fillId="0" borderId="39" xfId="0" applyBorder="1"/>
    <xf numFmtId="2" fontId="0" fillId="2" borderId="40" xfId="0" applyNumberFormat="1" applyFill="1" applyBorder="1"/>
    <xf numFmtId="0" fontId="0" fillId="0" borderId="32" xfId="0" applyBorder="1" applyAlignment="1">
      <alignment horizontal="center"/>
    </xf>
    <xf numFmtId="0" fontId="0" fillId="0" borderId="34" xfId="0" applyBorder="1"/>
    <xf numFmtId="0" fontId="0" fillId="0" borderId="34" xfId="0" applyBorder="1" applyAlignment="1">
      <alignment horizontal="center"/>
    </xf>
    <xf numFmtId="0" fontId="0" fillId="0" borderId="37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5" borderId="13" xfId="0" applyFont="1" applyFill="1" applyBorder="1" applyAlignment="1">
      <alignment horizontal="right"/>
    </xf>
    <xf numFmtId="2" fontId="0" fillId="5" borderId="14" xfId="0" applyNumberFormat="1" applyFill="1" applyBorder="1"/>
    <xf numFmtId="0" fontId="3" fillId="3" borderId="41" xfId="0" applyFont="1" applyFill="1" applyBorder="1" applyAlignment="1">
      <alignment horizontal="center"/>
    </xf>
    <xf numFmtId="0" fontId="3" fillId="3" borderId="42" xfId="0" applyFont="1" applyFill="1" applyBorder="1" applyAlignment="1">
      <alignment horizontal="center"/>
    </xf>
    <xf numFmtId="0" fontId="0" fillId="0" borderId="34" xfId="0" applyBorder="1" applyAlignment="1">
      <alignment horizontal="center" vertical="center" wrapText="1"/>
    </xf>
    <xf numFmtId="0" fontId="3" fillId="0" borderId="32" xfId="0" applyFont="1" applyBorder="1"/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5" borderId="19" xfId="0" applyFont="1" applyFill="1" applyBorder="1" applyAlignment="1">
      <alignment horizontal="right"/>
    </xf>
    <xf numFmtId="0" fontId="0" fillId="0" borderId="33" xfId="0" applyFont="1" applyBorder="1"/>
    <xf numFmtId="2" fontId="0" fillId="2" borderId="35" xfId="0" applyNumberFormat="1" applyFill="1" applyBorder="1"/>
    <xf numFmtId="0" fontId="0" fillId="0" borderId="46" xfId="0" applyBorder="1"/>
    <xf numFmtId="0" fontId="0" fillId="0" borderId="40" xfId="0" applyFill="1" applyBorder="1"/>
    <xf numFmtId="0" fontId="3" fillId="0" borderId="0" xfId="0" applyFont="1" applyFill="1" applyAlignment="1">
      <alignment horizontal="right"/>
    </xf>
    <xf numFmtId="0" fontId="0" fillId="3" borderId="0" xfId="0" applyFill="1"/>
    <xf numFmtId="0" fontId="3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43" fontId="3" fillId="0" borderId="0" xfId="2" applyFont="1" applyAlignment="1">
      <alignment horizontal="center"/>
    </xf>
    <xf numFmtId="172" fontId="3" fillId="0" borderId="0" xfId="2" applyNumberFormat="1" applyFont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Font="1" applyFill="1"/>
    <xf numFmtId="0" fontId="16" fillId="0" borderId="0" xfId="0" applyFont="1"/>
    <xf numFmtId="11" fontId="16" fillId="0" borderId="0" xfId="0" applyNumberFormat="1" applyFont="1"/>
    <xf numFmtId="0" fontId="3" fillId="0" borderId="0" xfId="0" applyFont="1" applyAlignment="1">
      <alignment horizontal="center"/>
    </xf>
    <xf numFmtId="169" fontId="0" fillId="6" borderId="0" xfId="0" applyNumberFormat="1" applyFill="1"/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Fill="1"/>
    <xf numFmtId="0" fontId="0" fillId="0" borderId="0" xfId="0" applyBorder="1"/>
    <xf numFmtId="1" fontId="0" fillId="0" borderId="0" xfId="0" applyNumberFormat="1" applyAlignment="1">
      <alignment horizontal="center"/>
    </xf>
    <xf numFmtId="169" fontId="0" fillId="0" borderId="0" xfId="0" applyNumberFormat="1"/>
    <xf numFmtId="169" fontId="0" fillId="0" borderId="0" xfId="0" applyNumberFormat="1" applyFill="1"/>
    <xf numFmtId="0" fontId="3" fillId="0" borderId="0" xfId="0" applyFont="1" applyAlignment="1">
      <alignment horizontal="right"/>
    </xf>
    <xf numFmtId="1" fontId="13" fillId="0" borderId="0" xfId="0" applyNumberFormat="1" applyFont="1" applyAlignment="1">
      <alignment horizontal="center"/>
    </xf>
    <xf numFmtId="170" fontId="0" fillId="0" borderId="0" xfId="0" applyNumberFormat="1" applyAlignment="1">
      <alignment horizontal="center"/>
    </xf>
    <xf numFmtId="170" fontId="13" fillId="0" borderId="0" xfId="0" applyNumberFormat="1" applyFont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1" fontId="13" fillId="0" borderId="0" xfId="0" applyNumberFormat="1" applyFont="1" applyFill="1" applyAlignment="1">
      <alignment horizontal="center"/>
    </xf>
    <xf numFmtId="0" fontId="0" fillId="0" borderId="11" xfId="0" applyBorder="1"/>
    <xf numFmtId="0" fontId="3" fillId="0" borderId="11" xfId="0" applyFont="1" applyBorder="1"/>
    <xf numFmtId="0" fontId="3" fillId="0" borderId="0" xfId="0" applyFont="1" applyFill="1" applyAlignment="1">
      <alignment horizontal="right"/>
    </xf>
    <xf numFmtId="0" fontId="0" fillId="3" borderId="0" xfId="0" applyFont="1" applyFill="1"/>
    <xf numFmtId="168" fontId="0" fillId="3" borderId="0" xfId="0" applyNumberFormat="1" applyFill="1"/>
    <xf numFmtId="169" fontId="0" fillId="3" borderId="0" xfId="0" applyNumberFormat="1" applyFill="1"/>
    <xf numFmtId="0" fontId="3" fillId="3" borderId="0" xfId="0" applyFont="1" applyFill="1"/>
    <xf numFmtId="1" fontId="13" fillId="3" borderId="0" xfId="0" applyNumberFormat="1" applyFont="1" applyFill="1" applyAlignment="1">
      <alignment horizontal="center"/>
    </xf>
    <xf numFmtId="0" fontId="0" fillId="3" borderId="0" xfId="0" applyFill="1"/>
    <xf numFmtId="0" fontId="0" fillId="0" borderId="0" xfId="0" applyFont="1" applyFill="1"/>
    <xf numFmtId="0" fontId="3" fillId="0" borderId="0" xfId="0" applyFont="1" applyFill="1" applyBorder="1" applyAlignment="1"/>
    <xf numFmtId="168" fontId="0" fillId="0" borderId="0" xfId="0" applyNumberFormat="1" applyFill="1"/>
    <xf numFmtId="1" fontId="0" fillId="0" borderId="0" xfId="0" applyNumberFormat="1" applyFill="1" applyAlignment="1">
      <alignment horizontal="center"/>
    </xf>
    <xf numFmtId="170" fontId="0" fillId="0" borderId="0" xfId="0" applyNumberFormat="1" applyFill="1" applyAlignment="1">
      <alignment horizontal="center"/>
    </xf>
    <xf numFmtId="170" fontId="13" fillId="0" borderId="0" xfId="0" applyNumberFormat="1" applyFont="1" applyFill="1" applyAlignment="1">
      <alignment horizontal="center"/>
    </xf>
    <xf numFmtId="0" fontId="14" fillId="0" borderId="0" xfId="0" applyFont="1" applyFill="1" applyBorder="1" applyAlignment="1">
      <alignment horizontal="right"/>
    </xf>
    <xf numFmtId="1" fontId="0" fillId="5" borderId="22" xfId="0" applyNumberFormat="1" applyFill="1" applyBorder="1"/>
    <xf numFmtId="170" fontId="3" fillId="0" borderId="15" xfId="0" applyNumberFormat="1" applyFont="1" applyFill="1" applyBorder="1" applyAlignment="1"/>
    <xf numFmtId="170" fontId="3" fillId="5" borderId="21" xfId="0" applyNumberFormat="1" applyFont="1" applyFill="1" applyBorder="1" applyAlignment="1">
      <alignment horizontal="right"/>
    </xf>
    <xf numFmtId="0" fontId="3" fillId="5" borderId="11" xfId="0" applyFont="1" applyFill="1" applyBorder="1" applyAlignment="1">
      <alignment horizontal="right"/>
    </xf>
    <xf numFmtId="2" fontId="0" fillId="5" borderId="12" xfId="0" applyNumberFormat="1" applyFill="1" applyBorder="1"/>
    <xf numFmtId="0" fontId="0" fillId="5" borderId="31" xfId="0" applyFill="1" applyBorder="1" applyAlignment="1">
      <alignment horizontal="center"/>
    </xf>
    <xf numFmtId="0" fontId="0" fillId="5" borderId="22" xfId="0" applyFill="1" applyBorder="1"/>
    <xf numFmtId="0" fontId="0" fillId="2" borderId="32" xfId="0" applyFill="1" applyBorder="1"/>
    <xf numFmtId="1" fontId="0" fillId="2" borderId="32" xfId="0" applyNumberFormat="1" applyFill="1" applyBorder="1" applyAlignment="1">
      <alignment horizontal="center"/>
    </xf>
    <xf numFmtId="170" fontId="0" fillId="2" borderId="32" xfId="0" applyNumberFormat="1" applyFill="1" applyBorder="1" applyAlignment="1">
      <alignment horizontal="center"/>
    </xf>
    <xf numFmtId="1" fontId="0" fillId="2" borderId="32" xfId="0" applyNumberFormat="1" applyFill="1" applyBorder="1"/>
    <xf numFmtId="0" fontId="3" fillId="7" borderId="24" xfId="0" applyFont="1" applyFill="1" applyBorder="1" applyAlignment="1">
      <alignment horizontal="center"/>
    </xf>
    <xf numFmtId="0" fontId="3" fillId="7" borderId="47" xfId="0" applyFont="1" applyFill="1" applyBorder="1" applyAlignment="1">
      <alignment horizontal="center"/>
    </xf>
    <xf numFmtId="0" fontId="3" fillId="7" borderId="48" xfId="0" applyFont="1" applyFill="1" applyBorder="1" applyAlignment="1">
      <alignment horizontal="center"/>
    </xf>
    <xf numFmtId="0" fontId="3" fillId="2" borderId="33" xfId="0" applyFont="1" applyFill="1" applyBorder="1"/>
    <xf numFmtId="0" fontId="0" fillId="2" borderId="34" xfId="0" applyFill="1" applyBorder="1"/>
    <xf numFmtId="0" fontId="0" fillId="2" borderId="35" xfId="0" applyFill="1" applyBorder="1"/>
    <xf numFmtId="0" fontId="0" fillId="2" borderId="36" xfId="0" applyFill="1" applyBorder="1"/>
    <xf numFmtId="1" fontId="0" fillId="2" borderId="37" xfId="0" applyNumberFormat="1" applyFill="1" applyBorder="1" applyAlignment="1">
      <alignment horizontal="center"/>
    </xf>
    <xf numFmtId="170" fontId="0" fillId="2" borderId="37" xfId="0" applyNumberFormat="1" applyFill="1" applyBorder="1" applyAlignment="1">
      <alignment horizontal="center"/>
    </xf>
    <xf numFmtId="0" fontId="3" fillId="2" borderId="36" xfId="0" applyFont="1" applyFill="1" applyBorder="1"/>
    <xf numFmtId="1" fontId="0" fillId="2" borderId="37" xfId="0" applyNumberFormat="1" applyFill="1" applyBorder="1"/>
    <xf numFmtId="0" fontId="0" fillId="2" borderId="38" xfId="0" applyFill="1" applyBorder="1"/>
    <xf numFmtId="170" fontId="0" fillId="2" borderId="39" xfId="0" applyNumberFormat="1" applyFill="1" applyBorder="1" applyAlignment="1">
      <alignment horizontal="center"/>
    </xf>
    <xf numFmtId="170" fontId="0" fillId="2" borderId="40" xfId="0" applyNumberFormat="1" applyFill="1" applyBorder="1" applyAlignment="1">
      <alignment horizontal="center"/>
    </xf>
    <xf numFmtId="2" fontId="0" fillId="2" borderId="32" xfId="0" applyNumberFormat="1" applyFill="1" applyBorder="1"/>
    <xf numFmtId="0" fontId="0" fillId="2" borderId="37" xfId="0" applyFill="1" applyBorder="1"/>
    <xf numFmtId="2" fontId="0" fillId="2" borderId="39" xfId="0" applyNumberFormat="1" applyFill="1" applyBorder="1"/>
    <xf numFmtId="2" fontId="0" fillId="5" borderId="22" xfId="0" applyNumberFormat="1" applyFill="1" applyBorder="1" applyAlignment="1">
      <alignment horizontal="center"/>
    </xf>
    <xf numFmtId="0" fontId="3" fillId="0" borderId="26" xfId="0" applyFont="1" applyBorder="1" applyAlignment="1">
      <alignment horizontal="center"/>
    </xf>
    <xf numFmtId="2" fontId="0" fillId="0" borderId="32" xfId="0" applyNumberFormat="1" applyFill="1" applyBorder="1" applyAlignment="1">
      <alignment horizontal="center"/>
    </xf>
    <xf numFmtId="2" fontId="0" fillId="4" borderId="32" xfId="0" applyNumberFormat="1" applyFill="1" applyBorder="1"/>
    <xf numFmtId="0" fontId="0" fillId="0" borderId="35" xfId="0" applyBorder="1" applyAlignment="1">
      <alignment horizontal="center"/>
    </xf>
    <xf numFmtId="0" fontId="0" fillId="4" borderId="37" xfId="0" applyFill="1" applyBorder="1" applyAlignment="1">
      <alignment horizontal="center"/>
    </xf>
    <xf numFmtId="0" fontId="0" fillId="4" borderId="40" xfId="0" applyFill="1" applyBorder="1" applyAlignment="1">
      <alignment horizontal="center"/>
    </xf>
    <xf numFmtId="2" fontId="0" fillId="4" borderId="36" xfId="0" applyNumberFormat="1" applyFill="1" applyBorder="1"/>
    <xf numFmtId="2" fontId="0" fillId="4" borderId="37" xfId="0" applyNumberFormat="1" applyFill="1" applyBorder="1"/>
    <xf numFmtId="2" fontId="0" fillId="0" borderId="36" xfId="0" applyNumberFormat="1" applyFill="1" applyBorder="1" applyAlignment="1">
      <alignment horizontal="center"/>
    </xf>
    <xf numFmtId="2" fontId="0" fillId="0" borderId="37" xfId="0" applyNumberFormat="1" applyFill="1" applyBorder="1" applyAlignment="1">
      <alignment horizontal="center"/>
    </xf>
    <xf numFmtId="2" fontId="0" fillId="0" borderId="36" xfId="0" applyNumberFormat="1" applyFill="1" applyBorder="1"/>
    <xf numFmtId="2" fontId="0" fillId="4" borderId="38" xfId="0" applyNumberFormat="1" applyFill="1" applyBorder="1"/>
    <xf numFmtId="2" fontId="0" fillId="4" borderId="39" xfId="0" applyNumberFormat="1" applyFill="1" applyBorder="1"/>
    <xf numFmtId="2" fontId="0" fillId="4" borderId="40" xfId="0" applyNumberFormat="1" applyFill="1" applyBorder="1"/>
    <xf numFmtId="2" fontId="0" fillId="2" borderId="36" xfId="0" applyNumberFormat="1" applyFill="1" applyBorder="1"/>
    <xf numFmtId="2" fontId="0" fillId="2" borderId="36" xfId="0" applyNumberFormat="1" applyFill="1" applyBorder="1" applyAlignment="1">
      <alignment horizontal="center"/>
    </xf>
    <xf numFmtId="2" fontId="0" fillId="2" borderId="37" xfId="0" applyNumberFormat="1" applyFill="1" applyBorder="1" applyAlignment="1">
      <alignment horizontal="center"/>
    </xf>
    <xf numFmtId="2" fontId="0" fillId="2" borderId="38" xfId="0" applyNumberFormat="1" applyFill="1" applyBorder="1"/>
    <xf numFmtId="0" fontId="3" fillId="0" borderId="32" xfId="0" applyFont="1" applyBorder="1" applyAlignment="1">
      <alignment horizontal="center"/>
    </xf>
    <xf numFmtId="2" fontId="0" fillId="0" borderId="25" xfId="0" applyNumberFormat="1" applyFill="1" applyBorder="1" applyAlignment="1">
      <alignment horizontal="center"/>
    </xf>
    <xf numFmtId="2" fontId="0" fillId="0" borderId="46" xfId="0" applyNumberFormat="1" applyFill="1" applyBorder="1" applyAlignment="1">
      <alignment horizontal="center"/>
    </xf>
    <xf numFmtId="2" fontId="0" fillId="0" borderId="49" xfId="0" applyNumberFormat="1" applyFill="1" applyBorder="1" applyAlignment="1">
      <alignment horizontal="center"/>
    </xf>
    <xf numFmtId="2" fontId="0" fillId="2" borderId="25" xfId="0" applyNumberFormat="1" applyFill="1" applyBorder="1" applyAlignment="1">
      <alignment horizontal="center"/>
    </xf>
    <xf numFmtId="2" fontId="0" fillId="2" borderId="49" xfId="0" applyNumberFormat="1" applyFill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3" fillId="2" borderId="36" xfId="0" applyFont="1" applyFill="1" applyBorder="1" applyAlignment="1">
      <alignment horizontal="center"/>
    </xf>
    <xf numFmtId="0" fontId="3" fillId="2" borderId="37" xfId="0" applyFont="1" applyFill="1" applyBorder="1" applyAlignment="1">
      <alignment horizontal="center"/>
    </xf>
    <xf numFmtId="0" fontId="0" fillId="2" borderId="38" xfId="0" applyFill="1" applyBorder="1" applyAlignment="1">
      <alignment horizontal="center"/>
    </xf>
    <xf numFmtId="0" fontId="0" fillId="2" borderId="40" xfId="0" applyFill="1" applyBorder="1" applyAlignment="1">
      <alignment horizontal="center"/>
    </xf>
    <xf numFmtId="0" fontId="14" fillId="0" borderId="32" xfId="0" applyFont="1" applyBorder="1" applyAlignment="1">
      <alignment horizontal="center"/>
    </xf>
    <xf numFmtId="0" fontId="14" fillId="5" borderId="13" xfId="0" applyFont="1" applyFill="1" applyBorder="1" applyAlignment="1">
      <alignment horizontal="right"/>
    </xf>
    <xf numFmtId="2" fontId="15" fillId="5" borderId="14" xfId="0" applyNumberFormat="1" applyFont="1" applyFill="1" applyBorder="1"/>
    <xf numFmtId="2" fontId="0" fillId="0" borderId="32" xfId="0" applyNumberFormat="1" applyFont="1" applyFill="1" applyBorder="1" applyAlignment="1">
      <alignment horizontal="center"/>
    </xf>
    <xf numFmtId="0" fontId="14" fillId="0" borderId="26" xfId="0" applyFont="1" applyBorder="1" applyAlignment="1">
      <alignment horizontal="center"/>
    </xf>
    <xf numFmtId="0" fontId="14" fillId="0" borderId="36" xfId="0" applyFont="1" applyBorder="1" applyAlignment="1">
      <alignment horizontal="center"/>
    </xf>
    <xf numFmtId="0" fontId="14" fillId="0" borderId="37" xfId="0" applyFont="1" applyBorder="1" applyAlignment="1">
      <alignment horizontal="center"/>
    </xf>
    <xf numFmtId="0" fontId="15" fillId="0" borderId="38" xfId="0" applyFont="1" applyBorder="1" applyAlignment="1">
      <alignment horizontal="center"/>
    </xf>
    <xf numFmtId="0" fontId="15" fillId="0" borderId="39" xfId="0" applyFont="1" applyBorder="1" applyAlignment="1">
      <alignment horizontal="center"/>
    </xf>
    <xf numFmtId="0" fontId="15" fillId="0" borderId="40" xfId="0" applyFont="1" applyBorder="1" applyAlignment="1">
      <alignment horizontal="center"/>
    </xf>
    <xf numFmtId="0" fontId="14" fillId="2" borderId="36" xfId="0" applyFont="1" applyFill="1" applyBorder="1" applyAlignment="1">
      <alignment horizontal="center"/>
    </xf>
    <xf numFmtId="0" fontId="14" fillId="2" borderId="37" xfId="0" applyFont="1" applyFill="1" applyBorder="1" applyAlignment="1">
      <alignment horizontal="center"/>
    </xf>
    <xf numFmtId="0" fontId="15" fillId="2" borderId="38" xfId="0" applyFont="1" applyFill="1" applyBorder="1" applyAlignment="1">
      <alignment horizontal="center"/>
    </xf>
    <xf numFmtId="0" fontId="15" fillId="2" borderId="40" xfId="0" applyFont="1" applyFill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4" borderId="37" xfId="0" applyFont="1" applyFill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4" borderId="40" xfId="0" applyFont="1" applyFill="1" applyBorder="1" applyAlignment="1">
      <alignment horizontal="center"/>
    </xf>
    <xf numFmtId="2" fontId="0" fillId="0" borderId="33" xfId="0" applyNumberFormat="1" applyFont="1" applyFill="1" applyBorder="1" applyAlignment="1">
      <alignment horizontal="center"/>
    </xf>
    <xf numFmtId="2" fontId="0" fillId="0" borderId="34" xfId="0" applyNumberFormat="1" applyFont="1" applyFill="1" applyBorder="1" applyAlignment="1">
      <alignment horizontal="center"/>
    </xf>
    <xf numFmtId="2" fontId="0" fillId="0" borderId="35" xfId="0" applyNumberFormat="1" applyFont="1" applyFill="1" applyBorder="1" applyAlignment="1">
      <alignment horizontal="center"/>
    </xf>
    <xf numFmtId="2" fontId="0" fillId="4" borderId="36" xfId="0" applyNumberFormat="1" applyFont="1" applyFill="1" applyBorder="1"/>
    <xf numFmtId="2" fontId="0" fillId="0" borderId="36" xfId="0" applyNumberFormat="1" applyFont="1" applyFill="1" applyBorder="1" applyAlignment="1">
      <alignment horizontal="center"/>
    </xf>
    <xf numFmtId="2" fontId="0" fillId="0" borderId="37" xfId="0" applyNumberFormat="1" applyFont="1" applyFill="1" applyBorder="1" applyAlignment="1">
      <alignment horizontal="center"/>
    </xf>
    <xf numFmtId="2" fontId="0" fillId="0" borderId="36" xfId="0" applyNumberFormat="1" applyFont="1" applyFill="1" applyBorder="1"/>
    <xf numFmtId="166" fontId="0" fillId="2" borderId="33" xfId="0" applyNumberFormat="1" applyFont="1" applyFill="1" applyBorder="1" applyAlignment="1">
      <alignment horizontal="center"/>
    </xf>
    <xf numFmtId="166" fontId="0" fillId="2" borderId="35" xfId="0" applyNumberFormat="1" applyFont="1" applyFill="1" applyBorder="1" applyAlignment="1">
      <alignment horizontal="center"/>
    </xf>
    <xf numFmtId="166" fontId="0" fillId="2" borderId="36" xfId="0" applyNumberFormat="1" applyFont="1" applyFill="1" applyBorder="1"/>
    <xf numFmtId="166" fontId="0" fillId="2" borderId="37" xfId="0" applyNumberFormat="1" applyFont="1" applyFill="1" applyBorder="1"/>
    <xf numFmtId="166" fontId="0" fillId="2" borderId="36" xfId="0" applyNumberFormat="1" applyFont="1" applyFill="1" applyBorder="1" applyAlignment="1">
      <alignment horizontal="center"/>
    </xf>
    <xf numFmtId="166" fontId="0" fillId="2" borderId="37" xfId="0" applyNumberFormat="1" applyFont="1" applyFill="1" applyBorder="1" applyAlignment="1">
      <alignment horizontal="center"/>
    </xf>
    <xf numFmtId="166" fontId="0" fillId="2" borderId="38" xfId="0" applyNumberFormat="1" applyFont="1" applyFill="1" applyBorder="1"/>
    <xf numFmtId="166" fontId="0" fillId="2" borderId="40" xfId="0" applyNumberFormat="1" applyFont="1" applyFill="1" applyBorder="1"/>
    <xf numFmtId="166" fontId="0" fillId="4" borderId="36" xfId="0" applyNumberFormat="1" applyFont="1" applyFill="1" applyBorder="1"/>
    <xf numFmtId="166" fontId="0" fillId="4" borderId="32" xfId="0" applyNumberFormat="1" applyFont="1" applyFill="1" applyBorder="1"/>
    <xf numFmtId="166" fontId="0" fillId="4" borderId="37" xfId="0" applyNumberFormat="1" applyFont="1" applyFill="1" applyBorder="1"/>
    <xf numFmtId="166" fontId="0" fillId="4" borderId="38" xfId="0" applyNumberFormat="1" applyFont="1" applyFill="1" applyBorder="1"/>
    <xf numFmtId="166" fontId="0" fillId="4" borderId="39" xfId="0" applyNumberFormat="1" applyFont="1" applyFill="1" applyBorder="1"/>
    <xf numFmtId="166" fontId="0" fillId="4" borderId="40" xfId="0" applyNumberFormat="1" applyFont="1" applyFill="1" applyBorder="1"/>
    <xf numFmtId="166" fontId="0" fillId="0" borderId="32" xfId="0" applyNumberFormat="1" applyFill="1" applyBorder="1" applyAlignment="1">
      <alignment horizontal="center"/>
    </xf>
    <xf numFmtId="166" fontId="0" fillId="4" borderId="32" xfId="0" applyNumberFormat="1" applyFill="1" applyBorder="1"/>
    <xf numFmtId="0" fontId="3" fillId="0" borderId="51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3" fillId="0" borderId="52" xfId="0" applyFont="1" applyBorder="1"/>
    <xf numFmtId="0" fontId="3" fillId="0" borderId="53" xfId="0" applyFont="1" applyBorder="1" applyAlignment="1">
      <alignment horizontal="center"/>
    </xf>
    <xf numFmtId="0" fontId="0" fillId="0" borderId="54" xfId="0" applyBorder="1" applyAlignment="1">
      <alignment horizontal="center"/>
    </xf>
    <xf numFmtId="166" fontId="0" fillId="0" borderId="33" xfId="0" applyNumberFormat="1" applyFill="1" applyBorder="1" applyAlignment="1">
      <alignment horizontal="center"/>
    </xf>
    <xf numFmtId="166" fontId="0" fillId="0" borderId="34" xfId="0" applyNumberFormat="1" applyFill="1" applyBorder="1" applyAlignment="1">
      <alignment horizontal="center"/>
    </xf>
    <xf numFmtId="166" fontId="0" fillId="0" borderId="35" xfId="0" applyNumberFormat="1" applyFill="1" applyBorder="1" applyAlignment="1">
      <alignment horizontal="center"/>
    </xf>
    <xf numFmtId="166" fontId="0" fillId="4" borderId="36" xfId="0" applyNumberFormat="1" applyFill="1" applyBorder="1"/>
    <xf numFmtId="166" fontId="0" fillId="4" borderId="37" xfId="0" applyNumberFormat="1" applyFill="1" applyBorder="1"/>
    <xf numFmtId="166" fontId="0" fillId="0" borderId="36" xfId="0" applyNumberFormat="1" applyFill="1" applyBorder="1" applyAlignment="1">
      <alignment horizontal="center"/>
    </xf>
    <xf numFmtId="166" fontId="0" fillId="0" borderId="37" xfId="0" applyNumberFormat="1" applyFill="1" applyBorder="1" applyAlignment="1">
      <alignment horizontal="center"/>
    </xf>
    <xf numFmtId="166" fontId="0" fillId="0" borderId="36" xfId="0" applyNumberFormat="1" applyFill="1" applyBorder="1"/>
    <xf numFmtId="166" fontId="0" fillId="4" borderId="38" xfId="0" applyNumberFormat="1" applyFill="1" applyBorder="1"/>
    <xf numFmtId="166" fontId="0" fillId="4" borderId="39" xfId="0" applyNumberFormat="1" applyFill="1" applyBorder="1"/>
    <xf numFmtId="166" fontId="0" fillId="4" borderId="40" xfId="0" applyNumberFormat="1" applyFill="1" applyBorder="1"/>
    <xf numFmtId="166" fontId="0" fillId="2" borderId="33" xfId="0" applyNumberFormat="1" applyFill="1" applyBorder="1" applyAlignment="1">
      <alignment horizontal="center"/>
    </xf>
    <xf numFmtId="166" fontId="0" fillId="2" borderId="35" xfId="0" applyNumberFormat="1" applyFill="1" applyBorder="1" applyAlignment="1">
      <alignment horizontal="center"/>
    </xf>
    <xf numFmtId="166" fontId="0" fillId="2" borderId="36" xfId="0" applyNumberFormat="1" applyFill="1" applyBorder="1"/>
    <xf numFmtId="166" fontId="0" fillId="2" borderId="37" xfId="0" applyNumberFormat="1" applyFill="1" applyBorder="1"/>
    <xf numFmtId="166" fontId="0" fillId="2" borderId="36" xfId="0" applyNumberFormat="1" applyFill="1" applyBorder="1" applyAlignment="1">
      <alignment horizontal="center"/>
    </xf>
    <xf numFmtId="166" fontId="0" fillId="2" borderId="37" xfId="0" applyNumberFormat="1" applyFill="1" applyBorder="1" applyAlignment="1">
      <alignment horizontal="center"/>
    </xf>
    <xf numFmtId="166" fontId="0" fillId="2" borderId="38" xfId="0" applyNumberFormat="1" applyFill="1" applyBorder="1"/>
    <xf numFmtId="166" fontId="0" fillId="2" borderId="40" xfId="0" applyNumberFormat="1" applyFill="1" applyBorder="1"/>
    <xf numFmtId="0" fontId="0" fillId="0" borderId="32" xfId="0" applyNumberFormat="1" applyBorder="1"/>
    <xf numFmtId="0" fontId="0" fillId="0" borderId="32" xfId="0" applyNumberFormat="1" applyBorder="1" applyAlignment="1">
      <alignment horizontal="center"/>
    </xf>
    <xf numFmtId="2" fontId="0" fillId="0" borderId="32" xfId="0" applyNumberFormat="1" applyFill="1" applyBorder="1"/>
    <xf numFmtId="0" fontId="3" fillId="2" borderId="15" xfId="0" applyFont="1" applyFill="1" applyBorder="1" applyAlignment="1">
      <alignment horizontal="center"/>
    </xf>
    <xf numFmtId="2" fontId="0" fillId="0" borderId="28" xfId="0" applyNumberFormat="1" applyFill="1" applyBorder="1"/>
    <xf numFmtId="0" fontId="3" fillId="0" borderId="9" xfId="0" applyFont="1" applyBorder="1"/>
    <xf numFmtId="0" fontId="3" fillId="0" borderId="15" xfId="0" applyFont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55" xfId="0" applyBorder="1" applyAlignment="1">
      <alignment horizontal="center"/>
    </xf>
    <xf numFmtId="2" fontId="0" fillId="0" borderId="33" xfId="0" applyNumberFormat="1" applyFill="1" applyBorder="1"/>
    <xf numFmtId="2" fontId="0" fillId="0" borderId="34" xfId="0" applyNumberFormat="1" applyFill="1" applyBorder="1"/>
    <xf numFmtId="2" fontId="0" fillId="0" borderId="35" xfId="0" applyNumberFormat="1" applyFill="1" applyBorder="1"/>
    <xf numFmtId="2" fontId="0" fillId="0" borderId="37" xfId="0" applyNumberFormat="1" applyFill="1" applyBorder="1"/>
    <xf numFmtId="2" fontId="0" fillId="0" borderId="38" xfId="0" applyNumberFormat="1" applyFill="1" applyBorder="1"/>
    <xf numFmtId="2" fontId="0" fillId="0" borderId="39" xfId="0" applyNumberFormat="1" applyFill="1" applyBorder="1"/>
    <xf numFmtId="2" fontId="0" fillId="0" borderId="40" xfId="0" applyNumberFormat="1" applyFill="1" applyBorder="1"/>
    <xf numFmtId="2" fontId="0" fillId="2" borderId="33" xfId="0" applyNumberFormat="1" applyFill="1" applyBorder="1"/>
    <xf numFmtId="2" fontId="0" fillId="0" borderId="56" xfId="0" applyNumberFormat="1" applyFill="1" applyBorder="1"/>
    <xf numFmtId="2" fontId="0" fillId="0" borderId="57" xfId="0" applyNumberFormat="1" applyFill="1" applyBorder="1"/>
    <xf numFmtId="0" fontId="0" fillId="0" borderId="33" xfId="0" applyNumberFormat="1" applyBorder="1"/>
    <xf numFmtId="0" fontId="0" fillId="0" borderId="34" xfId="0" applyNumberFormat="1" applyBorder="1" applyAlignment="1">
      <alignment horizontal="center"/>
    </xf>
    <xf numFmtId="0" fontId="0" fillId="0" borderId="35" xfId="0" applyNumberFormat="1" applyBorder="1"/>
    <xf numFmtId="0" fontId="0" fillId="0" borderId="36" xfId="0" applyNumberFormat="1" applyBorder="1"/>
    <xf numFmtId="0" fontId="0" fillId="0" borderId="37" xfId="0" applyNumberFormat="1" applyBorder="1"/>
    <xf numFmtId="0" fontId="0" fillId="0" borderId="38" xfId="0" applyNumberFormat="1" applyBorder="1"/>
    <xf numFmtId="0" fontId="0" fillId="0" borderId="39" xfId="0" applyNumberFormat="1" applyBorder="1"/>
    <xf numFmtId="0" fontId="0" fillId="0" borderId="40" xfId="0" applyNumberFormat="1" applyBorder="1"/>
    <xf numFmtId="0" fontId="0" fillId="0" borderId="33" xfId="0" applyBorder="1"/>
    <xf numFmtId="0" fontId="0" fillId="0" borderId="35" xfId="0" applyBorder="1"/>
    <xf numFmtId="0" fontId="0" fillId="0" borderId="37" xfId="0" applyBorder="1"/>
    <xf numFmtId="0" fontId="0" fillId="0" borderId="40" xfId="0" applyBorder="1"/>
    <xf numFmtId="1" fontId="0" fillId="2" borderId="33" xfId="0" applyNumberFormat="1" applyFill="1" applyBorder="1" applyAlignment="1">
      <alignment horizontal="center"/>
    </xf>
    <xf numFmtId="1" fontId="0" fillId="2" borderId="35" xfId="0" applyNumberFormat="1" applyFill="1" applyBorder="1" applyAlignment="1">
      <alignment horizontal="center"/>
    </xf>
    <xf numFmtId="1" fontId="0" fillId="2" borderId="36" xfId="0" applyNumberFormat="1" applyFill="1" applyBorder="1" applyAlignment="1">
      <alignment horizontal="center"/>
    </xf>
    <xf numFmtId="1" fontId="0" fillId="2" borderId="38" xfId="0" applyNumberFormat="1" applyFill="1" applyBorder="1" applyAlignment="1">
      <alignment horizontal="center"/>
    </xf>
    <xf numFmtId="1" fontId="0" fillId="2" borderId="40" xfId="0" applyNumberFormat="1" applyFill="1" applyBorder="1" applyAlignment="1">
      <alignment horizontal="center"/>
    </xf>
    <xf numFmtId="0" fontId="0" fillId="2" borderId="27" xfId="0" applyFill="1" applyBorder="1"/>
    <xf numFmtId="2" fontId="0" fillId="2" borderId="33" xfId="0" applyNumberFormat="1" applyFill="1" applyBorder="1" applyAlignment="1">
      <alignment horizontal="center"/>
    </xf>
    <xf numFmtId="2" fontId="0" fillId="2" borderId="35" xfId="0" applyNumberFormat="1" applyFill="1" applyBorder="1" applyAlignment="1">
      <alignment horizontal="center"/>
    </xf>
    <xf numFmtId="2" fontId="0" fillId="2" borderId="38" xfId="0" applyNumberFormat="1" applyFill="1" applyBorder="1" applyAlignment="1">
      <alignment horizontal="center"/>
    </xf>
    <xf numFmtId="2" fontId="0" fillId="2" borderId="40" xfId="0" applyNumberFormat="1" applyFill="1" applyBorder="1" applyAlignment="1">
      <alignment horizontal="center"/>
    </xf>
    <xf numFmtId="0" fontId="3" fillId="2" borderId="33" xfId="0" applyFont="1" applyFill="1" applyBorder="1" applyAlignment="1">
      <alignment horizontal="center"/>
    </xf>
    <xf numFmtId="0" fontId="3" fillId="2" borderId="35" xfId="0" applyFont="1" applyFill="1" applyBorder="1" applyAlignment="1">
      <alignment horizontal="center"/>
    </xf>
    <xf numFmtId="0" fontId="3" fillId="0" borderId="21" xfId="0" applyFont="1" applyFill="1" applyBorder="1"/>
    <xf numFmtId="0" fontId="3" fillId="0" borderId="3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0" fillId="0" borderId="11" xfId="0" applyFill="1" applyBorder="1"/>
    <xf numFmtId="0" fontId="0" fillId="0" borderId="5" xfId="0" applyFill="1" applyBorder="1"/>
    <xf numFmtId="0" fontId="0" fillId="0" borderId="33" xfId="0" applyFill="1" applyBorder="1"/>
    <xf numFmtId="0" fontId="0" fillId="0" borderId="34" xfId="0" applyFill="1" applyBorder="1" applyAlignment="1">
      <alignment horizontal="center"/>
    </xf>
    <xf numFmtId="0" fontId="0" fillId="0" borderId="35" xfId="0" applyFill="1" applyBorder="1"/>
    <xf numFmtId="0" fontId="0" fillId="0" borderId="36" xfId="0" applyFill="1" applyBorder="1"/>
    <xf numFmtId="0" fontId="0" fillId="0" borderId="32" xfId="0" applyFill="1" applyBorder="1" applyAlignment="1">
      <alignment horizontal="center"/>
    </xf>
    <xf numFmtId="0" fontId="0" fillId="0" borderId="37" xfId="0" applyFill="1" applyBorder="1"/>
    <xf numFmtId="0" fontId="0" fillId="0" borderId="32" xfId="0" applyFill="1" applyBorder="1"/>
    <xf numFmtId="0" fontId="0" fillId="0" borderId="38" xfId="0" applyFill="1" applyBorder="1"/>
    <xf numFmtId="0" fontId="0" fillId="0" borderId="39" xfId="0" applyFill="1" applyBorder="1"/>
    <xf numFmtId="170" fontId="0" fillId="5" borderId="14" xfId="0" applyNumberFormat="1" applyFill="1" applyBorder="1"/>
    <xf numFmtId="0" fontId="3" fillId="0" borderId="51" xfId="0" applyFont="1" applyBorder="1"/>
    <xf numFmtId="0" fontId="0" fillId="0" borderId="58" xfId="0" applyBorder="1"/>
    <xf numFmtId="0" fontId="0" fillId="0" borderId="12" xfId="0" applyBorder="1" applyAlignment="1">
      <alignment horizontal="center"/>
    </xf>
    <xf numFmtId="2" fontId="0" fillId="0" borderId="35" xfId="0" applyNumberFormat="1" applyBorder="1"/>
    <xf numFmtId="2" fontId="0" fillId="0" borderId="37" xfId="0" applyNumberFormat="1" applyBorder="1"/>
    <xf numFmtId="2" fontId="0" fillId="0" borderId="40" xfId="0" applyNumberFormat="1" applyBorder="1"/>
    <xf numFmtId="170" fontId="0" fillId="2" borderId="35" xfId="0" applyNumberFormat="1" applyFill="1" applyBorder="1"/>
    <xf numFmtId="170" fontId="0" fillId="2" borderId="37" xfId="0" applyNumberFormat="1" applyFill="1" applyBorder="1"/>
    <xf numFmtId="170" fontId="0" fillId="2" borderId="40" xfId="0" applyNumberFormat="1" applyFill="1" applyBorder="1"/>
    <xf numFmtId="171" fontId="0" fillId="2" borderId="35" xfId="1" applyNumberFormat="1" applyFont="1" applyFill="1" applyBorder="1"/>
    <xf numFmtId="171" fontId="0" fillId="2" borderId="37" xfId="1" applyNumberFormat="1" applyFont="1" applyFill="1" applyBorder="1"/>
    <xf numFmtId="171" fontId="0" fillId="2" borderId="40" xfId="1" applyNumberFormat="1" applyFont="1" applyFill="1" applyBorder="1"/>
    <xf numFmtId="0" fontId="16" fillId="8" borderId="0" xfId="0" applyFont="1" applyFill="1"/>
    <xf numFmtId="2" fontId="0" fillId="0" borderId="34" xfId="0" applyNumberFormat="1" applyBorder="1" applyAlignment="1">
      <alignment horizontal="center"/>
    </xf>
    <xf numFmtId="2" fontId="0" fillId="0" borderId="32" xfId="0" applyNumberFormat="1" applyBorder="1" applyAlignment="1">
      <alignment horizontal="center"/>
    </xf>
    <xf numFmtId="0" fontId="3" fillId="5" borderId="31" xfId="0" applyFont="1" applyFill="1" applyBorder="1" applyAlignment="1">
      <alignment horizontal="right"/>
    </xf>
    <xf numFmtId="0" fontId="3" fillId="2" borderId="0" xfId="0" applyFont="1" applyFill="1"/>
    <xf numFmtId="0" fontId="0" fillId="2" borderId="0" xfId="0" applyFill="1"/>
    <xf numFmtId="166" fontId="0" fillId="2" borderId="0" xfId="0" applyNumberFormat="1" applyFill="1"/>
    <xf numFmtId="0" fontId="0" fillId="0" borderId="24" xfId="0" applyBorder="1"/>
    <xf numFmtId="0" fontId="3" fillId="5" borderId="33" xfId="0" applyFont="1" applyFill="1" applyBorder="1" applyAlignment="1">
      <alignment horizontal="right"/>
    </xf>
    <xf numFmtId="0" fontId="3" fillId="5" borderId="38" xfId="0" applyFont="1" applyFill="1" applyBorder="1" applyAlignment="1">
      <alignment horizontal="right"/>
    </xf>
    <xf numFmtId="0" fontId="3" fillId="5" borderId="40" xfId="0" applyFont="1" applyFill="1" applyBorder="1" applyAlignment="1">
      <alignment horizontal="right"/>
    </xf>
    <xf numFmtId="0" fontId="0" fillId="0" borderId="59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6" xfId="0" applyBorder="1"/>
    <xf numFmtId="0" fontId="0" fillId="2" borderId="24" xfId="0" applyFill="1" applyBorder="1" applyAlignment="1">
      <alignment horizontal="center" wrapText="1"/>
    </xf>
    <xf numFmtId="0" fontId="0" fillId="2" borderId="48" xfId="0" applyFill="1" applyBorder="1" applyAlignment="1">
      <alignment horizontal="center" wrapText="1"/>
    </xf>
    <xf numFmtId="0" fontId="0" fillId="2" borderId="33" xfId="0" applyFont="1" applyFill="1" applyBorder="1" applyAlignment="1">
      <alignment horizontal="right"/>
    </xf>
    <xf numFmtId="2" fontId="0" fillId="2" borderId="35" xfId="0" applyNumberFormat="1" applyFont="1" applyFill="1" applyBorder="1" applyAlignment="1">
      <alignment horizontal="right"/>
    </xf>
    <xf numFmtId="0" fontId="0" fillId="2" borderId="36" xfId="0" applyFont="1" applyFill="1" applyBorder="1" applyAlignment="1">
      <alignment horizontal="right"/>
    </xf>
    <xf numFmtId="2" fontId="0" fillId="2" borderId="37" xfId="0" applyNumberFormat="1" applyFont="1" applyFill="1" applyBorder="1" applyAlignment="1">
      <alignment horizontal="right"/>
    </xf>
    <xf numFmtId="0" fontId="0" fillId="2" borderId="38" xfId="0" applyFont="1" applyFill="1" applyBorder="1" applyAlignment="1">
      <alignment horizontal="right"/>
    </xf>
    <xf numFmtId="2" fontId="0" fillId="2" borderId="40" xfId="0" applyNumberFormat="1" applyFont="1" applyFill="1" applyBorder="1" applyAlignment="1">
      <alignment horizontal="right"/>
    </xf>
    <xf numFmtId="0" fontId="3" fillId="5" borderId="21" xfId="0" applyFont="1" applyFill="1" applyBorder="1" applyAlignment="1">
      <alignment horizontal="right"/>
    </xf>
    <xf numFmtId="0" fontId="0" fillId="0" borderId="59" xfId="0" applyBorder="1" applyAlignment="1">
      <alignment horizontal="center" vertical="center" wrapText="1"/>
    </xf>
    <xf numFmtId="0" fontId="0" fillId="0" borderId="54" xfId="0" applyFill="1" applyBorder="1"/>
    <xf numFmtId="2" fontId="0" fillId="0" borderId="32" xfId="0" applyNumberFormat="1" applyBorder="1"/>
    <xf numFmtId="0" fontId="3" fillId="0" borderId="41" xfId="0" applyFont="1" applyBorder="1"/>
    <xf numFmtId="0" fontId="3" fillId="0" borderId="17" xfId="0" applyFont="1" applyBorder="1"/>
    <xf numFmtId="0" fontId="0" fillId="0" borderId="60" xfId="0" applyBorder="1"/>
    <xf numFmtId="0" fontId="0" fillId="0" borderId="61" xfId="0" applyBorder="1"/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25" xfId="0" applyBorder="1"/>
    <xf numFmtId="0" fontId="0" fillId="0" borderId="37" xfId="0" applyFill="1" applyBorder="1" applyAlignment="1">
      <alignment horizontal="center"/>
    </xf>
    <xf numFmtId="2" fontId="0" fillId="0" borderId="39" xfId="0" applyNumberFormat="1" applyBorder="1"/>
    <xf numFmtId="0" fontId="0" fillId="0" borderId="47" xfId="0" applyBorder="1"/>
    <xf numFmtId="2" fontId="0" fillId="0" borderId="47" xfId="0" applyNumberFormat="1" applyBorder="1" applyAlignment="1">
      <alignment horizontal="center"/>
    </xf>
    <xf numFmtId="2" fontId="0" fillId="2" borderId="48" xfId="0" applyNumberFormat="1" applyFill="1" applyBorder="1" applyAlignment="1">
      <alignment horizontal="center"/>
    </xf>
    <xf numFmtId="2" fontId="0" fillId="5" borderId="29" xfId="0" applyNumberFormat="1" applyFill="1" applyBorder="1" applyAlignment="1">
      <alignment horizontal="center"/>
    </xf>
    <xf numFmtId="0" fontId="3" fillId="5" borderId="15" xfId="0" applyFont="1" applyFill="1" applyBorder="1" applyAlignment="1">
      <alignment horizontal="right"/>
    </xf>
    <xf numFmtId="2" fontId="0" fillId="5" borderId="15" xfId="0" applyNumberFormat="1" applyFill="1" applyBorder="1" applyAlignment="1">
      <alignment horizontal="center"/>
    </xf>
    <xf numFmtId="2" fontId="0" fillId="5" borderId="35" xfId="0" applyNumberFormat="1" applyFill="1" applyBorder="1"/>
    <xf numFmtId="2" fontId="0" fillId="5" borderId="40" xfId="0" applyNumberFormat="1" applyFill="1" applyBorder="1"/>
    <xf numFmtId="0" fontId="3" fillId="5" borderId="33" xfId="0" applyFont="1" applyFill="1" applyBorder="1"/>
    <xf numFmtId="0" fontId="3" fillId="5" borderId="38" xfId="0" applyFont="1" applyFill="1" applyBorder="1"/>
    <xf numFmtId="0" fontId="0" fillId="0" borderId="0" xfId="0" applyAlignment="1"/>
    <xf numFmtId="2" fontId="0" fillId="2" borderId="34" xfId="0" applyNumberFormat="1" applyFill="1" applyBorder="1"/>
    <xf numFmtId="0" fontId="3" fillId="5" borderId="51" xfId="0" applyFont="1" applyFill="1" applyBorder="1"/>
    <xf numFmtId="2" fontId="3" fillId="5" borderId="52" xfId="0" applyNumberFormat="1" applyFont="1" applyFill="1" applyBorder="1"/>
    <xf numFmtId="2" fontId="3" fillId="5" borderId="62" xfId="0" applyNumberFormat="1" applyFont="1" applyFill="1" applyBorder="1"/>
    <xf numFmtId="0" fontId="3" fillId="0" borderId="24" xfId="0" applyFont="1" applyBorder="1" applyAlignment="1"/>
    <xf numFmtId="0" fontId="3" fillId="0" borderId="47" xfId="0" applyFont="1" applyBorder="1" applyAlignment="1"/>
    <xf numFmtId="0" fontId="3" fillId="0" borderId="48" xfId="0" applyFont="1" applyBorder="1" applyAlignment="1"/>
    <xf numFmtId="2" fontId="3" fillId="5" borderId="34" xfId="0" applyNumberFormat="1" applyFont="1" applyFill="1" applyBorder="1"/>
    <xf numFmtId="2" fontId="3" fillId="5" borderId="35" xfId="0" applyNumberFormat="1" applyFont="1" applyFill="1" applyBorder="1"/>
    <xf numFmtId="2" fontId="3" fillId="5" borderId="39" xfId="0" applyNumberFormat="1" applyFont="1" applyFill="1" applyBorder="1"/>
    <xf numFmtId="2" fontId="3" fillId="5" borderId="40" xfId="0" applyNumberFormat="1" applyFont="1" applyFill="1" applyBorder="1"/>
    <xf numFmtId="0" fontId="3" fillId="0" borderId="0" xfId="0" applyFont="1" applyFill="1" applyBorder="1" applyAlignment="1">
      <alignment horizontal="left"/>
    </xf>
    <xf numFmtId="2" fontId="3" fillId="0" borderId="0" xfId="0" applyNumberFormat="1" applyFont="1" applyFill="1" applyBorder="1"/>
    <xf numFmtId="2" fontId="3" fillId="5" borderId="32" xfId="0" applyNumberFormat="1" applyFont="1" applyFill="1" applyBorder="1"/>
    <xf numFmtId="2" fontId="3" fillId="5" borderId="51" xfId="0" applyNumberFormat="1" applyFont="1" applyFill="1" applyBorder="1"/>
    <xf numFmtId="2" fontId="3" fillId="5" borderId="37" xfId="0" applyNumberFormat="1" applyFont="1" applyFill="1" applyBorder="1"/>
    <xf numFmtId="171" fontId="0" fillId="2" borderId="48" xfId="1" applyNumberFormat="1" applyFont="1" applyFill="1" applyBorder="1"/>
    <xf numFmtId="0" fontId="3" fillId="0" borderId="64" xfId="0" applyFont="1" applyBorder="1"/>
    <xf numFmtId="0" fontId="3" fillId="0" borderId="65" xfId="0" applyFont="1" applyBorder="1"/>
    <xf numFmtId="0" fontId="3" fillId="0" borderId="66" xfId="0" applyFont="1" applyBorder="1"/>
    <xf numFmtId="9" fontId="0" fillId="0" borderId="0" xfId="1" applyFont="1"/>
    <xf numFmtId="0" fontId="0" fillId="3" borderId="32" xfId="0" applyFill="1" applyBorder="1"/>
    <xf numFmtId="0" fontId="0" fillId="3" borderId="33" xfId="0" applyFill="1" applyBorder="1"/>
    <xf numFmtId="0" fontId="0" fillId="3" borderId="34" xfId="0" applyFill="1" applyBorder="1" applyAlignment="1">
      <alignment horizontal="center" vertical="center" wrapText="1"/>
    </xf>
    <xf numFmtId="0" fontId="0" fillId="3" borderId="35" xfId="0" applyFill="1" applyBorder="1" applyAlignment="1">
      <alignment horizontal="center" vertical="center" wrapText="1"/>
    </xf>
    <xf numFmtId="0" fontId="0" fillId="3" borderId="38" xfId="0" applyFill="1" applyBorder="1"/>
    <xf numFmtId="0" fontId="0" fillId="3" borderId="39" xfId="0" applyFill="1" applyBorder="1"/>
    <xf numFmtId="0" fontId="0" fillId="3" borderId="39" xfId="0" applyFill="1" applyBorder="1" applyAlignment="1">
      <alignment horizontal="center"/>
    </xf>
    <xf numFmtId="0" fontId="0" fillId="3" borderId="40" xfId="0" applyFill="1" applyBorder="1"/>
    <xf numFmtId="0" fontId="0" fillId="3" borderId="34" xfId="0" applyFill="1" applyBorder="1"/>
    <xf numFmtId="0" fontId="0" fillId="3" borderId="36" xfId="0" applyFill="1" applyBorder="1"/>
    <xf numFmtId="0" fontId="3" fillId="3" borderId="51" xfId="0" applyFont="1" applyFill="1" applyBorder="1"/>
    <xf numFmtId="0" fontId="3" fillId="3" borderId="52" xfId="0" applyFont="1" applyFill="1" applyBorder="1"/>
    <xf numFmtId="0" fontId="3" fillId="3" borderId="62" xfId="0" applyFont="1" applyFill="1" applyBorder="1"/>
    <xf numFmtId="0" fontId="3" fillId="5" borderId="24" xfId="0" applyFont="1" applyFill="1" applyBorder="1" applyAlignment="1">
      <alignment horizontal="left"/>
    </xf>
    <xf numFmtId="0" fontId="3" fillId="8" borderId="33" xfId="0" applyFont="1" applyFill="1" applyBorder="1" applyAlignment="1">
      <alignment horizontal="left"/>
    </xf>
    <xf numFmtId="0" fontId="3" fillId="8" borderId="36" xfId="0" applyFont="1" applyFill="1" applyBorder="1" applyAlignment="1">
      <alignment horizontal="left"/>
    </xf>
    <xf numFmtId="0" fontId="3" fillId="8" borderId="38" xfId="0" applyFont="1" applyFill="1" applyBorder="1" applyAlignment="1">
      <alignment horizontal="left"/>
    </xf>
    <xf numFmtId="0" fontId="3" fillId="0" borderId="32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5" borderId="38" xfId="0" applyFont="1" applyFill="1" applyBorder="1" applyAlignment="1">
      <alignment horizontal="left"/>
    </xf>
    <xf numFmtId="0" fontId="3" fillId="5" borderId="33" xfId="0" applyFont="1" applyFill="1" applyBorder="1" applyAlignment="1">
      <alignment horizontal="left"/>
    </xf>
    <xf numFmtId="0" fontId="3" fillId="5" borderId="36" xfId="0" applyFont="1" applyFill="1" applyBorder="1" applyAlignment="1">
      <alignment horizontal="left"/>
    </xf>
    <xf numFmtId="0" fontId="3" fillId="5" borderId="21" xfId="0" applyFont="1" applyFill="1" applyBorder="1" applyAlignment="1">
      <alignment horizontal="right"/>
    </xf>
    <xf numFmtId="166" fontId="0" fillId="2" borderId="32" xfId="0" applyNumberFormat="1" applyFill="1" applyBorder="1"/>
    <xf numFmtId="0" fontId="0" fillId="2" borderId="33" xfId="0" applyFill="1" applyBorder="1"/>
    <xf numFmtId="0" fontId="0" fillId="2" borderId="34" xfId="0" applyFill="1" applyBorder="1" applyAlignment="1">
      <alignment horizontal="center" vertical="center" wrapText="1"/>
    </xf>
    <xf numFmtId="0" fontId="0" fillId="2" borderId="35" xfId="0" applyFill="1" applyBorder="1" applyAlignment="1">
      <alignment horizontal="center" vertical="center" wrapText="1"/>
    </xf>
    <xf numFmtId="0" fontId="0" fillId="2" borderId="39" xfId="0" applyFill="1" applyBorder="1"/>
    <xf numFmtId="0" fontId="0" fillId="2" borderId="39" xfId="0" applyFill="1" applyBorder="1" applyAlignment="1">
      <alignment horizontal="center"/>
    </xf>
    <xf numFmtId="0" fontId="0" fillId="2" borderId="40" xfId="0" applyFill="1" applyBorder="1"/>
    <xf numFmtId="0" fontId="0" fillId="2" borderId="51" xfId="0" applyFill="1" applyBorder="1"/>
    <xf numFmtId="0" fontId="0" fillId="2" borderId="52" xfId="0" applyFill="1" applyBorder="1"/>
    <xf numFmtId="166" fontId="0" fillId="2" borderId="52" xfId="0" applyNumberFormat="1" applyFill="1" applyBorder="1"/>
    <xf numFmtId="0" fontId="0" fillId="2" borderId="62" xfId="0" applyFill="1" applyBorder="1"/>
    <xf numFmtId="0" fontId="3" fillId="2" borderId="51" xfId="0" applyFont="1" applyFill="1" applyBorder="1"/>
    <xf numFmtId="2" fontId="0" fillId="3" borderId="32" xfId="0" applyNumberFormat="1" applyFill="1" applyBorder="1"/>
    <xf numFmtId="2" fontId="0" fillId="3" borderId="34" xfId="0" applyNumberFormat="1" applyFill="1" applyBorder="1"/>
    <xf numFmtId="2" fontId="0" fillId="3" borderId="39" xfId="0" applyNumberFormat="1" applyFill="1" applyBorder="1"/>
    <xf numFmtId="0" fontId="0" fillId="3" borderId="51" xfId="0" applyFill="1" applyBorder="1"/>
    <xf numFmtId="0" fontId="0" fillId="3" borderId="52" xfId="0" applyFill="1" applyBorder="1"/>
    <xf numFmtId="0" fontId="0" fillId="3" borderId="62" xfId="0" applyFill="1" applyBorder="1"/>
    <xf numFmtId="166" fontId="0" fillId="2" borderId="34" xfId="0" applyNumberFormat="1" applyFill="1" applyBorder="1"/>
    <xf numFmtId="166" fontId="0" fillId="2" borderId="39" xfId="0" applyNumberFormat="1" applyFill="1" applyBorder="1"/>
    <xf numFmtId="166" fontId="0" fillId="9" borderId="52" xfId="0" applyNumberFormat="1" applyFill="1" applyBorder="1"/>
    <xf numFmtId="0" fontId="3" fillId="9" borderId="52" xfId="0" applyFont="1" applyFill="1" applyBorder="1"/>
    <xf numFmtId="2" fontId="0" fillId="9" borderId="52" xfId="0" applyNumberFormat="1" applyFill="1" applyBorder="1"/>
    <xf numFmtId="1" fontId="0" fillId="5" borderId="31" xfId="0" applyNumberFormat="1" applyFill="1" applyBorder="1"/>
    <xf numFmtId="2" fontId="0" fillId="5" borderId="31" xfId="0" applyNumberFormat="1" applyFill="1" applyBorder="1"/>
    <xf numFmtId="0" fontId="3" fillId="5" borderId="21" xfId="0" applyFont="1" applyFill="1" applyBorder="1" applyAlignment="1">
      <alignment horizontal="left"/>
    </xf>
    <xf numFmtId="1" fontId="0" fillId="5" borderId="31" xfId="0" applyNumberFormat="1" applyFont="1" applyFill="1" applyBorder="1"/>
    <xf numFmtId="0" fontId="14" fillId="5" borderId="11" xfId="0" applyFont="1" applyFill="1" applyBorder="1" applyAlignment="1">
      <alignment horizontal="right"/>
    </xf>
    <xf numFmtId="2" fontId="15" fillId="5" borderId="12" xfId="0" applyNumberFormat="1" applyFont="1" applyFill="1" applyBorder="1"/>
    <xf numFmtId="0" fontId="14" fillId="5" borderId="21" xfId="0" applyFont="1" applyFill="1" applyBorder="1" applyAlignment="1">
      <alignment horizontal="right"/>
    </xf>
    <xf numFmtId="2" fontId="15" fillId="5" borderId="22" xfId="0" applyNumberFormat="1" applyFont="1" applyFill="1" applyBorder="1"/>
    <xf numFmtId="1" fontId="15" fillId="5" borderId="22" xfId="0" applyNumberFormat="1" applyFont="1" applyFill="1" applyBorder="1"/>
    <xf numFmtId="0" fontId="3" fillId="5" borderId="22" xfId="0" applyFont="1" applyFill="1" applyBorder="1" applyAlignment="1">
      <alignment horizontal="right"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 vertical="center"/>
    </xf>
    <xf numFmtId="0" fontId="3" fillId="0" borderId="32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0" fillId="0" borderId="32" xfId="0" applyBorder="1" applyAlignment="1">
      <alignment horizontal="right"/>
    </xf>
    <xf numFmtId="165" fontId="0" fillId="0" borderId="32" xfId="0" applyNumberFormat="1" applyBorder="1"/>
    <xf numFmtId="164" fontId="0" fillId="0" borderId="32" xfId="0" applyNumberFormat="1" applyBorder="1"/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 vertical="center"/>
    </xf>
    <xf numFmtId="0" fontId="3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3" fillId="0" borderId="36" xfId="0" applyFont="1" applyBorder="1"/>
    <xf numFmtId="0" fontId="0" fillId="0" borderId="36" xfId="0" applyBorder="1" applyAlignment="1">
      <alignment horizontal="right"/>
    </xf>
    <xf numFmtId="164" fontId="0" fillId="0" borderId="37" xfId="0" applyNumberFormat="1" applyBorder="1"/>
    <xf numFmtId="0" fontId="0" fillId="0" borderId="38" xfId="0" applyBorder="1" applyAlignment="1">
      <alignment horizontal="right"/>
    </xf>
    <xf numFmtId="165" fontId="0" fillId="0" borderId="39" xfId="0" applyNumberFormat="1" applyBorder="1"/>
    <xf numFmtId="164" fontId="0" fillId="0" borderId="39" xfId="0" applyNumberFormat="1" applyBorder="1"/>
    <xf numFmtId="164" fontId="0" fillId="0" borderId="40" xfId="0" applyNumberFormat="1" applyBorder="1"/>
    <xf numFmtId="0" fontId="0" fillId="0" borderId="24" xfId="0" applyBorder="1" applyAlignment="1">
      <alignment horizontal="right"/>
    </xf>
    <xf numFmtId="165" fontId="0" fillId="0" borderId="47" xfId="0" applyNumberFormat="1" applyBorder="1"/>
    <xf numFmtId="164" fontId="0" fillId="0" borderId="47" xfId="0" applyNumberFormat="1" applyBorder="1"/>
    <xf numFmtId="164" fontId="0" fillId="0" borderId="48" xfId="0" applyNumberFormat="1" applyBorder="1"/>
    <xf numFmtId="164" fontId="0" fillId="0" borderId="32" xfId="0" applyNumberFormat="1" applyFill="1" applyBorder="1"/>
    <xf numFmtId="2" fontId="0" fillId="0" borderId="37" xfId="0" applyNumberFormat="1" applyBorder="1" applyAlignment="1">
      <alignment horizontal="left"/>
    </xf>
    <xf numFmtId="164" fontId="0" fillId="0" borderId="37" xfId="0" applyNumberFormat="1" applyFill="1" applyBorder="1"/>
    <xf numFmtId="0" fontId="3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2" fontId="0" fillId="0" borderId="49" xfId="0" applyNumberFormat="1" applyBorder="1"/>
    <xf numFmtId="0" fontId="3" fillId="0" borderId="0" xfId="0" applyFont="1" applyBorder="1"/>
    <xf numFmtId="0" fontId="3" fillId="0" borderId="38" xfId="0" applyFont="1" applyBorder="1"/>
    <xf numFmtId="9" fontId="3" fillId="0" borderId="40" xfId="1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2" fontId="0" fillId="0" borderId="34" xfId="0" applyNumberFormat="1" applyBorder="1"/>
    <xf numFmtId="0" fontId="3" fillId="5" borderId="21" xfId="0" applyFont="1" applyFill="1" applyBorder="1" applyAlignment="1"/>
    <xf numFmtId="0" fontId="3" fillId="5" borderId="31" xfId="0" applyFont="1" applyFill="1" applyBorder="1" applyAlignment="1"/>
    <xf numFmtId="0" fontId="0" fillId="5" borderId="22" xfId="0" applyFont="1" applyFill="1" applyBorder="1" applyAlignment="1"/>
    <xf numFmtId="0" fontId="7" fillId="0" borderId="32" xfId="0" applyFont="1" applyBorder="1" applyAlignment="1">
      <alignment horizontal="center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37" xfId="0" applyFont="1" applyBorder="1" applyAlignment="1">
      <alignment vertical="center" wrapText="1"/>
    </xf>
    <xf numFmtId="2" fontId="3" fillId="0" borderId="34" xfId="0" applyNumberFormat="1" applyFont="1" applyBorder="1" applyAlignment="1">
      <alignment horizontal="center"/>
    </xf>
    <xf numFmtId="0" fontId="3" fillId="5" borderId="14" xfId="0" applyFont="1" applyFill="1" applyBorder="1" applyAlignment="1"/>
    <xf numFmtId="1" fontId="3" fillId="5" borderId="21" xfId="0" applyNumberFormat="1" applyFont="1" applyFill="1" applyBorder="1"/>
    <xf numFmtId="0" fontId="0" fillId="0" borderId="0" xfId="0" applyProtection="1">
      <protection locked="0"/>
    </xf>
    <xf numFmtId="9" fontId="0" fillId="0" borderId="0" xfId="0" applyNumberFormat="1" applyProtection="1">
      <protection locked="0"/>
    </xf>
    <xf numFmtId="9" fontId="0" fillId="0" borderId="0" xfId="0" applyNumberFormat="1" applyFill="1" applyProtection="1">
      <protection locked="0"/>
    </xf>
    <xf numFmtId="0" fontId="0" fillId="2" borderId="34" xfId="0" applyFill="1" applyBorder="1" applyProtection="1">
      <protection locked="0"/>
    </xf>
    <xf numFmtId="0" fontId="0" fillId="2" borderId="32" xfId="0" applyFill="1" applyBorder="1" applyProtection="1">
      <protection locked="0"/>
    </xf>
    <xf numFmtId="0" fontId="0" fillId="2" borderId="39" xfId="0" applyFill="1" applyBorder="1" applyProtection="1">
      <protection locked="0"/>
    </xf>
    <xf numFmtId="0" fontId="0" fillId="2" borderId="35" xfId="0" applyFill="1" applyBorder="1" applyProtection="1">
      <protection locked="0"/>
    </xf>
    <xf numFmtId="0" fontId="0" fillId="2" borderId="37" xfId="0" applyFill="1" applyBorder="1" applyProtection="1">
      <protection locked="0"/>
    </xf>
    <xf numFmtId="0" fontId="0" fillId="2" borderId="40" xfId="0" applyFill="1" applyBorder="1" applyProtection="1">
      <protection locked="0"/>
    </xf>
    <xf numFmtId="0" fontId="0" fillId="3" borderId="34" xfId="0" applyFill="1" applyBorder="1" applyProtection="1">
      <protection locked="0"/>
    </xf>
    <xf numFmtId="0" fontId="0" fillId="3" borderId="32" xfId="0" applyFill="1" applyBorder="1" applyProtection="1">
      <protection locked="0"/>
    </xf>
    <xf numFmtId="0" fontId="0" fillId="3" borderId="39" xfId="0" applyFill="1" applyBorder="1" applyProtection="1">
      <protection locked="0"/>
    </xf>
    <xf numFmtId="0" fontId="0" fillId="3" borderId="35" xfId="0" applyFill="1" applyBorder="1" applyProtection="1">
      <protection locked="0"/>
    </xf>
    <xf numFmtId="0" fontId="0" fillId="3" borderId="37" xfId="0" applyFill="1" applyBorder="1" applyProtection="1">
      <protection locked="0"/>
    </xf>
    <xf numFmtId="0" fontId="0" fillId="3" borderId="40" xfId="0" applyFill="1" applyBorder="1" applyProtection="1">
      <protection locked="0"/>
    </xf>
    <xf numFmtId="2" fontId="0" fillId="2" borderId="32" xfId="0" applyNumberFormat="1" applyFill="1" applyBorder="1" applyProtection="1">
      <protection locked="0"/>
    </xf>
    <xf numFmtId="9" fontId="0" fillId="2" borderId="32" xfId="0" applyNumberFormat="1" applyFill="1" applyBorder="1" applyProtection="1">
      <protection locked="0"/>
    </xf>
    <xf numFmtId="1" fontId="0" fillId="2" borderId="32" xfId="0" applyNumberFormat="1" applyFill="1" applyBorder="1" applyProtection="1">
      <protection locked="0"/>
    </xf>
    <xf numFmtId="1" fontId="0" fillId="2" borderId="32" xfId="1" applyNumberFormat="1" applyFont="1" applyFill="1" applyBorder="1" applyProtection="1">
      <protection locked="0"/>
    </xf>
    <xf numFmtId="166" fontId="0" fillId="2" borderId="32" xfId="0" applyNumberFormat="1" applyFill="1" applyBorder="1" applyProtection="1">
      <protection locked="0"/>
    </xf>
    <xf numFmtId="171" fontId="0" fillId="2" borderId="32" xfId="0" applyNumberFormat="1" applyFill="1" applyBorder="1" applyProtection="1">
      <protection locked="0"/>
    </xf>
    <xf numFmtId="2" fontId="0" fillId="2" borderId="32" xfId="1" applyNumberFormat="1" applyFont="1" applyFill="1" applyBorder="1" applyProtection="1">
      <protection locked="0"/>
    </xf>
    <xf numFmtId="170" fontId="0" fillId="2" borderId="32" xfId="0" applyNumberFormat="1" applyFill="1" applyBorder="1" applyProtection="1">
      <protection locked="0"/>
    </xf>
    <xf numFmtId="0" fontId="3" fillId="0" borderId="36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7" borderId="25" xfId="0" applyFont="1" applyFill="1" applyBorder="1" applyAlignment="1">
      <alignment horizontal="center"/>
    </xf>
    <xf numFmtId="0" fontId="3" fillId="7" borderId="46" xfId="0" applyFont="1" applyFill="1" applyBorder="1" applyAlignment="1">
      <alignment horizontal="center"/>
    </xf>
    <xf numFmtId="0" fontId="3" fillId="7" borderId="49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3" fillId="3" borderId="31" xfId="0" applyFont="1" applyFill="1" applyBorder="1" applyAlignment="1">
      <alignment horizontal="center"/>
    </xf>
    <xf numFmtId="0" fontId="3" fillId="3" borderId="22" xfId="0" applyFont="1" applyFill="1" applyBorder="1" applyAlignment="1">
      <alignment horizontal="center"/>
    </xf>
    <xf numFmtId="0" fontId="3" fillId="7" borderId="17" xfId="0" applyFont="1" applyFill="1" applyBorder="1" applyAlignment="1">
      <alignment horizontal="center"/>
    </xf>
    <xf numFmtId="0" fontId="3" fillId="7" borderId="7" xfId="0" applyFont="1" applyFill="1" applyBorder="1" applyAlignment="1">
      <alignment horizontal="center"/>
    </xf>
    <xf numFmtId="0" fontId="3" fillId="7" borderId="18" xfId="0" applyFont="1" applyFill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63" xfId="0" applyFont="1" applyBorder="1" applyAlignment="1">
      <alignment horizontal="center"/>
    </xf>
    <xf numFmtId="0" fontId="3" fillId="0" borderId="24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5" borderId="38" xfId="0" applyFont="1" applyFill="1" applyBorder="1" applyAlignment="1">
      <alignment horizontal="left"/>
    </xf>
    <xf numFmtId="0" fontId="3" fillId="5" borderId="39" xfId="0" applyFont="1" applyFill="1" applyBorder="1" applyAlignment="1">
      <alignment horizontal="left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5" borderId="33" xfId="0" applyFont="1" applyFill="1" applyBorder="1" applyAlignment="1">
      <alignment horizontal="left"/>
    </xf>
    <xf numFmtId="0" fontId="3" fillId="5" borderId="34" xfId="0" applyFont="1" applyFill="1" applyBorder="1" applyAlignment="1">
      <alignment horizontal="left"/>
    </xf>
    <xf numFmtId="0" fontId="3" fillId="0" borderId="28" xfId="0" applyFont="1" applyBorder="1" applyAlignment="1">
      <alignment horizontal="center"/>
    </xf>
    <xf numFmtId="0" fontId="3" fillId="0" borderId="60" xfId="0" applyFont="1" applyBorder="1" applyAlignment="1">
      <alignment horizontal="center"/>
    </xf>
    <xf numFmtId="0" fontId="3" fillId="5" borderId="36" xfId="0" applyFont="1" applyFill="1" applyBorder="1" applyAlignment="1">
      <alignment horizontal="left"/>
    </xf>
    <xf numFmtId="0" fontId="3" fillId="5" borderId="32" xfId="0" applyFont="1" applyFill="1" applyBorder="1" applyAlignment="1">
      <alignment horizontal="left"/>
    </xf>
    <xf numFmtId="0" fontId="3" fillId="7" borderId="33" xfId="0" applyFont="1" applyFill="1" applyBorder="1" applyAlignment="1">
      <alignment horizontal="center"/>
    </xf>
    <xf numFmtId="0" fontId="3" fillId="7" borderId="34" xfId="0" applyFont="1" applyFill="1" applyBorder="1" applyAlignment="1">
      <alignment horizontal="center"/>
    </xf>
    <xf numFmtId="0" fontId="3" fillId="7" borderId="35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5" borderId="21" xfId="0" applyFont="1" applyFill="1" applyBorder="1" applyAlignment="1">
      <alignment horizontal="right"/>
    </xf>
    <xf numFmtId="0" fontId="3" fillId="5" borderId="31" xfId="0" applyFont="1" applyFill="1" applyBorder="1" applyAlignment="1">
      <alignment horizontal="right"/>
    </xf>
    <xf numFmtId="0" fontId="0" fillId="0" borderId="32" xfId="0" applyBorder="1" applyAlignment="1">
      <alignment horizontal="center" vertical="center"/>
    </xf>
    <xf numFmtId="0" fontId="0" fillId="0" borderId="36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0" fillId="0" borderId="33" xfId="0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36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/>
    </xf>
    <xf numFmtId="0" fontId="14" fillId="3" borderId="21" xfId="0" applyFont="1" applyFill="1" applyBorder="1" applyAlignment="1">
      <alignment horizontal="center"/>
    </xf>
    <xf numFmtId="0" fontId="14" fillId="3" borderId="31" xfId="0" applyFont="1" applyFill="1" applyBorder="1" applyAlignment="1">
      <alignment horizontal="center"/>
    </xf>
    <xf numFmtId="0" fontId="14" fillId="3" borderId="22" xfId="0" applyFont="1" applyFill="1" applyBorder="1" applyAlignment="1">
      <alignment horizontal="center"/>
    </xf>
    <xf numFmtId="0" fontId="14" fillId="2" borderId="9" xfId="0" applyFont="1" applyFill="1" applyBorder="1" applyAlignment="1">
      <alignment horizontal="center"/>
    </xf>
    <xf numFmtId="0" fontId="14" fillId="2" borderId="10" xfId="0" applyFont="1" applyFill="1" applyBorder="1" applyAlignment="1">
      <alignment horizontal="center"/>
    </xf>
    <xf numFmtId="0" fontId="0" fillId="0" borderId="33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0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5" borderId="21" xfId="0" applyFont="1" applyFill="1" applyBorder="1" applyAlignment="1">
      <alignment horizontal="center"/>
    </xf>
    <xf numFmtId="0" fontId="3" fillId="5" borderId="31" xfId="0" applyFont="1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0" fillId="3" borderId="31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2" fontId="3" fillId="0" borderId="34" xfId="0" applyNumberFormat="1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5" borderId="31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3" borderId="9" xfId="0" applyFont="1" applyFill="1" applyBorder="1" applyAlignment="1">
      <alignment horizontal="center"/>
    </xf>
  </cellXfs>
  <cellStyles count="219">
    <cellStyle name="Comma" xfId="2" builtinId="3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Massa Tanque</a:t>
            </a:r>
          </a:p>
        </c:rich>
      </c:tx>
    </c:title>
    <c:plotArea>
      <c:layout/>
      <c:scatterChart>
        <c:scatterStyle val="lineMarker"/>
        <c:ser>
          <c:idx val="0"/>
          <c:order val="0"/>
          <c:tx>
            <c:v>Incl 0° Nadir 2 Asas</c:v>
          </c:tx>
          <c:spPr>
            <a:ln w="28575">
              <a:noFill/>
            </a:ln>
          </c:spPr>
          <c:trendline>
            <c:spPr>
              <a:ln w="12700">
                <a:solidFill>
                  <a:srgbClr val="FF0000"/>
                </a:solidFill>
              </a:ln>
            </c:spPr>
            <c:trendlineType val="exp"/>
          </c:trendline>
          <c:xVal>
            <c:numRef>
              <c:f>Arrasto!$E$69:$G$69</c:f>
              <c:numCache>
                <c:formatCode>General</c:formatCode>
                <c:ptCount val="3"/>
                <c:pt idx="0">
                  <c:v>400</c:v>
                </c:pt>
                <c:pt idx="1">
                  <c:v>700</c:v>
                </c:pt>
                <c:pt idx="2">
                  <c:v>1500</c:v>
                </c:pt>
              </c:numCache>
            </c:numRef>
          </c:xVal>
          <c:yVal>
            <c:numRef>
              <c:f>Arrasto!$E$72:$G$72</c:f>
              <c:numCache>
                <c:formatCode>0.00</c:formatCode>
                <c:ptCount val="3"/>
                <c:pt idx="0">
                  <c:v>27.252894419510856</c:v>
                </c:pt>
                <c:pt idx="1">
                  <c:v>0.69946054452888684</c:v>
                </c:pt>
                <c:pt idx="2">
                  <c:v>4.1978954202583829E-3</c:v>
                </c:pt>
              </c:numCache>
            </c:numRef>
          </c:yVal>
        </c:ser>
        <c:dLbls>
          <c:showVal val="1"/>
        </c:dLbls>
        <c:axId val="69248896"/>
        <c:axId val="69267456"/>
      </c:scatterChart>
      <c:valAx>
        <c:axId val="6924889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km</a:t>
                </a:r>
              </a:p>
            </c:rich>
          </c:tx>
          <c:layout>
            <c:manualLayout>
              <c:xMode val="edge"/>
              <c:yMode val="edge"/>
              <c:x val="0.70503641270193296"/>
              <c:y val="0.77299565166295314"/>
            </c:manualLayout>
          </c:layout>
        </c:title>
        <c:numFmt formatCode="General" sourceLinked="1"/>
        <c:tickLblPos val="nextTo"/>
        <c:crossAx val="69267456"/>
        <c:crosses val="autoZero"/>
        <c:crossBetween val="midCat"/>
      </c:valAx>
      <c:valAx>
        <c:axId val="69267456"/>
        <c:scaling>
          <c:orientation val="minMax"/>
        </c:scaling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pt-BR"/>
                  <a:t>Kg</a:t>
                </a:r>
              </a:p>
            </c:rich>
          </c:tx>
          <c:layout>
            <c:manualLayout>
              <c:xMode val="edge"/>
              <c:yMode val="edge"/>
              <c:x val="0.13145539906103404"/>
              <c:y val="7.509108003290732E-2"/>
            </c:manualLayout>
          </c:layout>
        </c:title>
        <c:numFmt formatCode="0.0" sourceLinked="0"/>
        <c:tickLblPos val="nextTo"/>
        <c:crossAx val="69248896"/>
        <c:crosses val="autoZero"/>
        <c:crossBetween val="midCat"/>
      </c:valAx>
    </c:plotArea>
    <c:legend>
      <c:legendPos val="r"/>
    </c:legend>
    <c:plotVisOnly val="1"/>
    <c:dispBlanksAs val="gap"/>
  </c:chart>
  <c:spPr>
    <a:solidFill>
      <a:schemeClr val="accent1">
        <a:lumMod val="40000"/>
        <a:lumOff val="60000"/>
      </a:schemeClr>
    </a:solidFill>
    <a:ln w="12700">
      <a:solidFill>
        <a:schemeClr val="accent4">
          <a:lumMod val="75000"/>
        </a:schemeClr>
      </a:solidFill>
    </a:ln>
    <a:effectLst>
      <a:outerShdw blurRad="50800" dist="50800" dir="5400000" algn="ctr" rotWithShape="0">
        <a:schemeClr val="bg1"/>
      </a:outerShdw>
    </a:effectLst>
  </c:spPr>
  <c:printSettings>
    <c:headerFooter/>
    <c:pageMargins b="0.75000000000000711" l="0.70000000000000207" r="0.70000000000000207" t="0.750000000000007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Massa roda</a:t>
            </a:r>
          </a:p>
        </c:rich>
      </c:tx>
    </c:title>
    <c:plotArea>
      <c:layout/>
      <c:scatterChart>
        <c:scatterStyle val="lineMarker"/>
        <c:ser>
          <c:idx val="0"/>
          <c:order val="0"/>
          <c:tx>
            <c:v>Incl 0° Nadir 2 Asas</c:v>
          </c:tx>
          <c:spPr>
            <a:ln w="28575">
              <a:noFill/>
            </a:ln>
          </c:spPr>
          <c:trendline>
            <c:trendlineType val="exp"/>
          </c:trendline>
          <c:xVal>
            <c:numRef>
              <c:f>Torque!$E$143:$G$143</c:f>
              <c:numCache>
                <c:formatCode>General</c:formatCode>
                <c:ptCount val="3"/>
                <c:pt idx="0">
                  <c:v>400</c:v>
                </c:pt>
                <c:pt idx="1">
                  <c:v>700</c:v>
                </c:pt>
                <c:pt idx="2">
                  <c:v>1500</c:v>
                </c:pt>
              </c:numCache>
            </c:numRef>
          </c:xVal>
          <c:yVal>
            <c:numRef>
              <c:f>Torque!$E$146:$G$146</c:f>
              <c:numCache>
                <c:formatCode>0.000</c:formatCode>
                <c:ptCount val="3"/>
                <c:pt idx="0">
                  <c:v>0.72959511429782298</c:v>
                </c:pt>
                <c:pt idx="1">
                  <c:v>1.9981174744391705E-2</c:v>
                </c:pt>
                <c:pt idx="2">
                  <c:v>1.4079639262964849E-4</c:v>
                </c:pt>
              </c:numCache>
            </c:numRef>
          </c:yVal>
        </c:ser>
        <c:dLbls/>
        <c:axId val="69330432"/>
        <c:axId val="69332352"/>
      </c:scatterChart>
      <c:valAx>
        <c:axId val="69330432"/>
        <c:scaling>
          <c:orientation val="minMax"/>
        </c:scaling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km</a:t>
                </a:r>
              </a:p>
            </c:rich>
          </c:tx>
          <c:layout>
            <c:manualLayout>
              <c:xMode val="edge"/>
              <c:yMode val="edge"/>
              <c:x val="0.73564279041391112"/>
              <c:y val="0.81834792525214595"/>
            </c:manualLayout>
          </c:layout>
        </c:title>
        <c:numFmt formatCode="General" sourceLinked="1"/>
        <c:tickLblPos val="nextTo"/>
        <c:crossAx val="69332352"/>
        <c:crosses val="autoZero"/>
        <c:crossBetween val="midCat"/>
      </c:valAx>
      <c:valAx>
        <c:axId val="69332352"/>
        <c:scaling>
          <c:orientation val="minMax"/>
        </c:scaling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pt-BR"/>
                  <a:t>Kg</a:t>
                </a:r>
              </a:p>
            </c:rich>
          </c:tx>
          <c:layout>
            <c:manualLayout>
              <c:xMode val="edge"/>
              <c:yMode val="edge"/>
              <c:x val="9.8310291858678914E-2"/>
              <c:y val="7.0351049868766391E-2"/>
            </c:manualLayout>
          </c:layout>
        </c:title>
        <c:numFmt formatCode="0.000" sourceLinked="0"/>
        <c:tickLblPos val="nextTo"/>
        <c:crossAx val="69330432"/>
        <c:crosses val="autoZero"/>
        <c:crossBetween val="midCat"/>
      </c:valAx>
    </c:plotArea>
    <c:legend>
      <c:legendPos val="r"/>
    </c:legend>
    <c:plotVisOnly val="1"/>
    <c:dispBlanksAs val="gap"/>
  </c:chart>
  <c:spPr>
    <a:solidFill>
      <a:srgbClr val="4F81BD">
        <a:lumMod val="40000"/>
        <a:lumOff val="60000"/>
      </a:srgbClr>
    </a:solidFill>
    <a:ln w="12700">
      <a:solidFill>
        <a:schemeClr val="accent4"/>
      </a:solidFill>
    </a:ln>
  </c:spPr>
  <c:printSettings>
    <c:headerFooter/>
    <c:pageMargins b="0.7500000000000081" l="0.70000000000000207" r="0.70000000000000207" t="0.750000000000008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Massa roda</a:t>
            </a:r>
          </a:p>
        </c:rich>
      </c:tx>
    </c:title>
    <c:plotArea>
      <c:layout/>
      <c:scatterChart>
        <c:scatterStyle val="lineMarker"/>
        <c:ser>
          <c:idx val="0"/>
          <c:order val="0"/>
          <c:tx>
            <c:v>Incl 0° Solar 2 Wings</c:v>
          </c:tx>
          <c:spPr>
            <a:ln w="28575">
              <a:noFill/>
            </a:ln>
          </c:spPr>
          <c:trendline>
            <c:trendlineType val="exp"/>
          </c:trendline>
          <c:xVal>
            <c:numRef>
              <c:f>Torque!$E$143:$G$143</c:f>
              <c:numCache>
                <c:formatCode>General</c:formatCode>
                <c:ptCount val="3"/>
                <c:pt idx="0">
                  <c:v>400</c:v>
                </c:pt>
                <c:pt idx="1">
                  <c:v>700</c:v>
                </c:pt>
                <c:pt idx="2">
                  <c:v>1500</c:v>
                </c:pt>
              </c:numCache>
            </c:numRef>
          </c:xVal>
          <c:yVal>
            <c:numRef>
              <c:f>Torque!$E$152:$G$152</c:f>
              <c:numCache>
                <c:formatCode>0.000</c:formatCode>
                <c:ptCount val="3"/>
                <c:pt idx="1">
                  <c:v>0.18624967445806376</c:v>
                </c:pt>
                <c:pt idx="2">
                  <c:v>1.6231127460493007E-4</c:v>
                </c:pt>
              </c:numCache>
            </c:numRef>
          </c:yVal>
        </c:ser>
        <c:dLbls/>
        <c:axId val="71607040"/>
        <c:axId val="71608576"/>
      </c:scatterChart>
      <c:valAx>
        <c:axId val="71607040"/>
        <c:scaling>
          <c:orientation val="minMax"/>
        </c:scaling>
        <c:axPos val="b"/>
        <c:numFmt formatCode="General" sourceLinked="1"/>
        <c:tickLblPos val="nextTo"/>
        <c:crossAx val="71608576"/>
        <c:crosses val="autoZero"/>
        <c:crossBetween val="midCat"/>
      </c:valAx>
      <c:valAx>
        <c:axId val="71608576"/>
        <c:scaling>
          <c:orientation val="minMax"/>
        </c:scaling>
        <c:axPos val="l"/>
        <c:majorGridlines/>
        <c:numFmt formatCode="0.00" sourceLinked="1"/>
        <c:tickLblPos val="nextTo"/>
        <c:crossAx val="71607040"/>
        <c:crosses val="autoZero"/>
        <c:crossBetween val="midCat"/>
      </c:valAx>
    </c:plotArea>
    <c:legend>
      <c:legendPos val="r"/>
    </c:legend>
    <c:plotVisOnly val="1"/>
    <c:dispBlanksAs val="gap"/>
  </c:chart>
  <c:spPr>
    <a:solidFill>
      <a:srgbClr val="4F81BD">
        <a:lumMod val="40000"/>
        <a:lumOff val="60000"/>
      </a:srgbClr>
    </a:solidFill>
    <a:ln w="19050">
      <a:solidFill>
        <a:schemeClr val="tx1"/>
      </a:solidFill>
    </a:ln>
  </c:spPr>
  <c:printSettings>
    <c:headerFooter/>
    <c:pageMargins b="0.7500000000000081" l="0.70000000000000207" r="0.70000000000000207" t="0.750000000000008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Massa roda</a:t>
            </a:r>
          </a:p>
        </c:rich>
      </c:tx>
    </c:title>
    <c:plotArea>
      <c:layout>
        <c:manualLayout>
          <c:layoutTarget val="inner"/>
          <c:xMode val="edge"/>
          <c:yMode val="edge"/>
          <c:x val="0.10079921017859401"/>
          <c:y val="0.18215393530354199"/>
          <c:w val="0.52387932443049812"/>
          <c:h val="0.70939734805876498"/>
        </c:manualLayout>
      </c:layout>
      <c:scatterChart>
        <c:scatterStyle val="lineMarker"/>
        <c:ser>
          <c:idx val="0"/>
          <c:order val="0"/>
          <c:tx>
            <c:v>Incl 25° Nadir 2 Wings</c:v>
          </c:tx>
          <c:spPr>
            <a:ln w="28575">
              <a:noFill/>
            </a:ln>
          </c:spPr>
          <c:trendline>
            <c:trendlineType val="exp"/>
          </c:trendline>
          <c:xVal>
            <c:numRef>
              <c:f>Torque!$E$143:$G$143</c:f>
              <c:numCache>
                <c:formatCode>General</c:formatCode>
                <c:ptCount val="3"/>
                <c:pt idx="0">
                  <c:v>400</c:v>
                </c:pt>
                <c:pt idx="1">
                  <c:v>700</c:v>
                </c:pt>
                <c:pt idx="2">
                  <c:v>1500</c:v>
                </c:pt>
              </c:numCache>
            </c:numRef>
          </c:xVal>
          <c:yVal>
            <c:numRef>
              <c:f>Torque!$E$150:$G$150</c:f>
              <c:numCache>
                <c:formatCode>0.000</c:formatCode>
                <c:ptCount val="3"/>
                <c:pt idx="0">
                  <c:v>0.72959511429782298</c:v>
                </c:pt>
                <c:pt idx="1">
                  <c:v>1.9981174744391705E-2</c:v>
                </c:pt>
                <c:pt idx="2">
                  <c:v>1.4079639262964849E-4</c:v>
                </c:pt>
              </c:numCache>
            </c:numRef>
          </c:yVal>
        </c:ser>
        <c:dLbls/>
        <c:axId val="71621632"/>
        <c:axId val="71623424"/>
      </c:scatterChart>
      <c:valAx>
        <c:axId val="71621632"/>
        <c:scaling>
          <c:orientation val="minMax"/>
        </c:scaling>
        <c:axPos val="b"/>
        <c:numFmt formatCode="General" sourceLinked="1"/>
        <c:tickLblPos val="nextTo"/>
        <c:crossAx val="71623424"/>
        <c:crosses val="autoZero"/>
        <c:crossBetween val="midCat"/>
      </c:valAx>
      <c:valAx>
        <c:axId val="71623424"/>
        <c:scaling>
          <c:orientation val="minMax"/>
        </c:scaling>
        <c:axPos val="l"/>
        <c:majorGridlines/>
        <c:numFmt formatCode="0.0000" sourceLinked="0"/>
        <c:tickLblPos val="nextTo"/>
        <c:crossAx val="7162163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64117766505590001"/>
          <c:y val="0.22469509493131501"/>
          <c:w val="0.32878190135748014"/>
          <c:h val="0.23448409857858701"/>
        </c:manualLayout>
      </c:layout>
    </c:legend>
    <c:plotVisOnly val="1"/>
    <c:dispBlanksAs val="gap"/>
  </c:chart>
  <c:spPr>
    <a:solidFill>
      <a:srgbClr val="4F81BD">
        <a:lumMod val="40000"/>
        <a:lumOff val="60000"/>
      </a:srgbClr>
    </a:solidFill>
    <a:ln w="19050">
      <a:solidFill>
        <a:schemeClr val="tx1"/>
      </a:solidFill>
    </a:ln>
  </c:spPr>
  <c:printSettings>
    <c:headerFooter/>
    <c:pageMargins b="0.7500000000000091" l="0.70000000000000207" r="0.70000000000000207" t="0.750000000000009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Massa bobina mag.</a:t>
            </a:r>
            <a:endParaRPr lang="pt-BR"/>
          </a:p>
        </c:rich>
      </c:tx>
    </c:title>
    <c:plotArea>
      <c:layout/>
      <c:scatterChart>
        <c:scatterStyle val="lineMarker"/>
        <c:ser>
          <c:idx val="0"/>
          <c:order val="0"/>
          <c:tx>
            <c:v>Inlc 0° Nadir 2 Asas</c:v>
          </c:tx>
          <c:spPr>
            <a:ln w="28575">
              <a:noFill/>
            </a:ln>
          </c:spPr>
          <c:trendline>
            <c:trendlineType val="exp"/>
          </c:trendline>
          <c:xVal>
            <c:numRef>
              <c:f>CMagnetico!$E$112:$G$112</c:f>
              <c:numCache>
                <c:formatCode>General</c:formatCode>
                <c:ptCount val="3"/>
                <c:pt idx="0">
                  <c:v>400</c:v>
                </c:pt>
                <c:pt idx="1">
                  <c:v>700</c:v>
                </c:pt>
                <c:pt idx="2">
                  <c:v>1500</c:v>
                </c:pt>
              </c:numCache>
            </c:numRef>
          </c:xVal>
          <c:yVal>
            <c:numRef>
              <c:f>CMagnetico!$E$115:$G$115</c:f>
              <c:numCache>
                <c:formatCode>0.000</c:formatCode>
                <c:ptCount val="3"/>
                <c:pt idx="0">
                  <c:v>1.6058031283098737</c:v>
                </c:pt>
                <c:pt idx="1">
                  <c:v>9.4927900910492358E-2</c:v>
                </c:pt>
                <c:pt idx="2">
                  <c:v>5.384852637994183E-4</c:v>
                </c:pt>
              </c:numCache>
            </c:numRef>
          </c:yVal>
        </c:ser>
        <c:dLbls/>
        <c:axId val="77208192"/>
        <c:axId val="77222272"/>
      </c:scatterChart>
      <c:valAx>
        <c:axId val="77208192"/>
        <c:scaling>
          <c:orientation val="minMax"/>
        </c:scaling>
        <c:axPos val="b"/>
        <c:numFmt formatCode="General" sourceLinked="1"/>
        <c:tickLblPos val="nextTo"/>
        <c:crossAx val="77222272"/>
        <c:crosses val="autoZero"/>
        <c:crossBetween val="midCat"/>
      </c:valAx>
      <c:valAx>
        <c:axId val="77222272"/>
        <c:scaling>
          <c:orientation val="minMax"/>
        </c:scaling>
        <c:axPos val="l"/>
        <c:majorGridlines/>
        <c:numFmt formatCode="0.000" sourceLinked="1"/>
        <c:tickLblPos val="nextTo"/>
        <c:crossAx val="77208192"/>
        <c:crosses val="autoZero"/>
        <c:crossBetween val="midCat"/>
      </c:valAx>
    </c:plotArea>
    <c:legend>
      <c:legendPos val="r"/>
    </c:legend>
    <c:plotVisOnly val="1"/>
    <c:dispBlanksAs val="gap"/>
  </c:chart>
  <c:spPr>
    <a:solidFill>
      <a:schemeClr val="accent1">
        <a:lumMod val="40000"/>
        <a:lumOff val="60000"/>
      </a:schemeClr>
    </a:solidFill>
  </c:spPr>
  <c:printSettings>
    <c:headerFooter/>
    <c:pageMargins b="0.7500000000000091" l="0.70000000000000207" r="0.70000000000000207" t="0.750000000000009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Massa bobina mag.</a:t>
            </a:r>
            <a:endParaRPr lang="pt-BR"/>
          </a:p>
        </c:rich>
      </c:tx>
    </c:title>
    <c:plotArea>
      <c:layout/>
      <c:scatterChart>
        <c:scatterStyle val="lineMarker"/>
        <c:ser>
          <c:idx val="0"/>
          <c:order val="0"/>
          <c:tx>
            <c:v>Incl 12° Nadir 2 Wings</c:v>
          </c:tx>
          <c:spPr>
            <a:ln w="28575">
              <a:noFill/>
            </a:ln>
          </c:spPr>
          <c:trendline>
            <c:trendlineType val="exp"/>
          </c:trendline>
          <c:xVal>
            <c:numRef>
              <c:f>CMagnetico!$E$112:$G$112</c:f>
              <c:numCache>
                <c:formatCode>General</c:formatCode>
                <c:ptCount val="3"/>
                <c:pt idx="0">
                  <c:v>400</c:v>
                </c:pt>
                <c:pt idx="1">
                  <c:v>700</c:v>
                </c:pt>
                <c:pt idx="2">
                  <c:v>1500</c:v>
                </c:pt>
              </c:numCache>
            </c:numRef>
          </c:xVal>
          <c:yVal>
            <c:numRef>
              <c:f>CMagnetico!$E$117:$G$117</c:f>
              <c:numCache>
                <c:formatCode>0.000</c:formatCode>
                <c:ptCount val="3"/>
                <c:pt idx="0">
                  <c:v>2.8215788707802556</c:v>
                </c:pt>
                <c:pt idx="1">
                  <c:v>9.4927900910492358E-2</c:v>
                </c:pt>
                <c:pt idx="2">
                  <c:v>1.0646653501846421E-3</c:v>
                </c:pt>
              </c:numCache>
            </c:numRef>
          </c:yVal>
        </c:ser>
        <c:dLbls/>
        <c:axId val="77243136"/>
        <c:axId val="77244672"/>
      </c:scatterChart>
      <c:valAx>
        <c:axId val="77243136"/>
        <c:scaling>
          <c:orientation val="minMax"/>
        </c:scaling>
        <c:axPos val="b"/>
        <c:numFmt formatCode="General" sourceLinked="1"/>
        <c:tickLblPos val="nextTo"/>
        <c:crossAx val="77244672"/>
        <c:crosses val="autoZero"/>
        <c:crossBetween val="midCat"/>
      </c:valAx>
      <c:valAx>
        <c:axId val="77244672"/>
        <c:scaling>
          <c:orientation val="minMax"/>
        </c:scaling>
        <c:axPos val="l"/>
        <c:majorGridlines/>
        <c:numFmt formatCode="0.0000" sourceLinked="0"/>
        <c:tickLblPos val="nextTo"/>
        <c:crossAx val="77243136"/>
        <c:crosses val="autoZero"/>
        <c:crossBetween val="midCat"/>
      </c:valAx>
    </c:plotArea>
    <c:legend>
      <c:legendPos val="r"/>
    </c:legend>
    <c:plotVisOnly val="1"/>
    <c:dispBlanksAs val="gap"/>
  </c:chart>
  <c:spPr>
    <a:solidFill>
      <a:srgbClr val="4F81BD">
        <a:lumMod val="40000"/>
        <a:lumOff val="60000"/>
      </a:srgbClr>
    </a:solidFill>
    <a:ln w="19050">
      <a:solidFill>
        <a:schemeClr val="tx1"/>
      </a:solidFill>
    </a:ln>
  </c:spPr>
  <c:printSettings>
    <c:headerFooter/>
    <c:pageMargins b="0.7500000000000091" l="0.70000000000000207" r="0.70000000000000207" t="0.7500000000000091" header="0.30000000000000004" footer="0.3000000000000000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Área Total</a:t>
            </a:r>
            <a:endParaRPr lang="pt-BR"/>
          </a:p>
        </c:rich>
      </c:tx>
    </c:title>
    <c:plotArea>
      <c:layout/>
      <c:scatterChart>
        <c:scatterStyle val="lineMarker"/>
        <c:ser>
          <c:idx val="0"/>
          <c:order val="0"/>
          <c:tx>
            <c:v>Incl 12° Nadir</c:v>
          </c:tx>
          <c:spPr>
            <a:ln w="28575">
              <a:noFill/>
            </a:ln>
          </c:spPr>
          <c:trendline>
            <c:trendlineType val="linear"/>
          </c:trendline>
          <c:xVal>
            <c:numRef>
              <c:f>Energia!$E$36:$G$36</c:f>
              <c:numCache>
                <c:formatCode>General</c:formatCode>
                <c:ptCount val="3"/>
                <c:pt idx="0">
                  <c:v>400</c:v>
                </c:pt>
                <c:pt idx="1">
                  <c:v>700</c:v>
                </c:pt>
                <c:pt idx="2">
                  <c:v>1500</c:v>
                </c:pt>
              </c:numCache>
            </c:numRef>
          </c:xVal>
          <c:yVal>
            <c:numRef>
              <c:f>Energia!$E$39:$G$39</c:f>
              <c:numCache>
                <c:formatCode>0.00</c:formatCode>
                <c:ptCount val="3"/>
                <c:pt idx="0">
                  <c:v>3.7758352222895608</c:v>
                </c:pt>
                <c:pt idx="1">
                  <c:v>3.5709237060516621</c:v>
                </c:pt>
                <c:pt idx="2">
                  <c:v>3.1900520520405706</c:v>
                </c:pt>
              </c:numCache>
            </c:numRef>
          </c:yVal>
        </c:ser>
        <c:dLbls/>
        <c:axId val="77458816"/>
        <c:axId val="77341824"/>
      </c:scatterChart>
      <c:valAx>
        <c:axId val="77458816"/>
        <c:scaling>
          <c:orientation val="minMax"/>
        </c:scaling>
        <c:axPos val="b"/>
        <c:numFmt formatCode="General" sourceLinked="1"/>
        <c:tickLblPos val="nextTo"/>
        <c:crossAx val="77341824"/>
        <c:crosses val="autoZero"/>
        <c:crossBetween val="midCat"/>
      </c:valAx>
      <c:valAx>
        <c:axId val="77341824"/>
        <c:scaling>
          <c:orientation val="minMax"/>
        </c:scaling>
        <c:axPos val="l"/>
        <c:majorGridlines/>
        <c:numFmt formatCode="0.00" sourceLinked="1"/>
        <c:tickLblPos val="nextTo"/>
        <c:crossAx val="77458816"/>
        <c:crosses val="autoZero"/>
        <c:crossBetween val="midCat"/>
      </c:valAx>
    </c:plotArea>
    <c:legend>
      <c:legendPos val="r"/>
    </c:legend>
    <c:plotVisOnly val="1"/>
    <c:dispBlanksAs val="gap"/>
  </c:chart>
  <c:spPr>
    <a:solidFill>
      <a:schemeClr val="accent1">
        <a:lumMod val="40000"/>
        <a:lumOff val="60000"/>
      </a:schemeClr>
    </a:solidFill>
  </c:spPr>
  <c:printSettings>
    <c:headerFooter/>
    <c:pageMargins b="0.7500000000000091" l="0.70000000000000207" r="0.70000000000000207" t="0.7500000000000091" header="0.30000000000000004" footer="0.30000000000000004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Massa Bateria</a:t>
            </a:r>
            <a:endParaRPr lang="pt-BR"/>
          </a:p>
        </c:rich>
      </c:tx>
    </c:title>
    <c:plotArea>
      <c:layout/>
      <c:scatterChart>
        <c:scatterStyle val="lineMarker"/>
        <c:ser>
          <c:idx val="0"/>
          <c:order val="0"/>
          <c:tx>
            <c:v>Incl 12° Nadir</c:v>
          </c:tx>
          <c:spPr>
            <a:ln w="28575">
              <a:noFill/>
            </a:ln>
          </c:spPr>
          <c:trendline>
            <c:trendlineType val="power"/>
          </c:trendline>
          <c:xVal>
            <c:numRef>
              <c:f>Energia!$D$50:$F$50</c:f>
              <c:numCache>
                <c:formatCode>General</c:formatCode>
                <c:ptCount val="3"/>
                <c:pt idx="0">
                  <c:v>400</c:v>
                </c:pt>
                <c:pt idx="1">
                  <c:v>700</c:v>
                </c:pt>
                <c:pt idx="2">
                  <c:v>1500</c:v>
                </c:pt>
              </c:numCache>
            </c:numRef>
          </c:xVal>
          <c:yVal>
            <c:numRef>
              <c:f>Energia!$D$53:$F$53</c:f>
              <c:numCache>
                <c:formatCode>0.00</c:formatCode>
                <c:ptCount val="3"/>
                <c:pt idx="0">
                  <c:v>9.9747907771876836</c:v>
                </c:pt>
                <c:pt idx="1">
                  <c:v>9.7559029296400421</c:v>
                </c:pt>
                <c:pt idx="2">
                  <c:v>9.6421173070915334</c:v>
                </c:pt>
              </c:numCache>
            </c:numRef>
          </c:yVal>
        </c:ser>
        <c:dLbls/>
        <c:axId val="77363072"/>
        <c:axId val="77364608"/>
      </c:scatterChart>
      <c:valAx>
        <c:axId val="77363072"/>
        <c:scaling>
          <c:orientation val="minMax"/>
        </c:scaling>
        <c:axPos val="b"/>
        <c:numFmt formatCode="General" sourceLinked="1"/>
        <c:tickLblPos val="nextTo"/>
        <c:crossAx val="77364608"/>
        <c:crosses val="autoZero"/>
        <c:crossBetween val="midCat"/>
      </c:valAx>
      <c:valAx>
        <c:axId val="77364608"/>
        <c:scaling>
          <c:orientation val="minMax"/>
        </c:scaling>
        <c:axPos val="l"/>
        <c:majorGridlines/>
        <c:numFmt formatCode="0.00" sourceLinked="1"/>
        <c:tickLblPos val="nextTo"/>
        <c:crossAx val="77363072"/>
        <c:crosses val="autoZero"/>
        <c:crossBetween val="midCat"/>
      </c:valAx>
    </c:plotArea>
    <c:legend>
      <c:legendPos val="r"/>
    </c:legend>
    <c:plotVisOnly val="1"/>
    <c:dispBlanksAs val="gap"/>
  </c:chart>
  <c:spPr>
    <a:solidFill>
      <a:schemeClr val="accent1">
        <a:lumMod val="40000"/>
        <a:lumOff val="60000"/>
      </a:schemeClr>
    </a:solidFill>
  </c:spPr>
  <c:printSettings>
    <c:headerFooter/>
    <c:pageMargins b="0.7500000000000091" l="0.70000000000000207" r="0.70000000000000207" t="0.7500000000000091" header="0.30000000000000004" footer="0.30000000000000004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25400</xdr:colOff>
      <xdr:row>1</xdr:row>
      <xdr:rowOff>88900</xdr:rowOff>
    </xdr:from>
    <xdr:to>
      <xdr:col>12</xdr:col>
      <xdr:colOff>228600</xdr:colOff>
      <xdr:row>16</xdr:row>
      <xdr:rowOff>63500</xdr:rowOff>
    </xdr:to>
    <xdr:sp macro="" textlink="">
      <xdr:nvSpPr>
        <xdr:cNvPr id="2" name="TextBox 1"/>
        <xdr:cNvSpPr txBox="1"/>
      </xdr:nvSpPr>
      <xdr:spPr>
        <a:xfrm>
          <a:off x="1371600" y="266700"/>
          <a:ext cx="6934200" cy="2641600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38100" cmpd="sng">
          <a:solidFill>
            <a:schemeClr val="accent6">
              <a:lumMod val="75000"/>
            </a:schemeClr>
          </a:solidFill>
        </a:ln>
        <a:effectLst>
          <a:innerShdw blurRad="63500" dist="50800" dir="18900000">
            <a:prstClr val="black">
              <a:alpha val="50000"/>
            </a:prstClr>
          </a:innerShdw>
        </a:effectLst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	</a:t>
          </a:r>
          <a:r>
            <a:rPr lang="en-US" sz="4000"/>
            <a:t>MÉTODO DE AUXÍLIO À CONCEPÇÃO DE PLATAFORMAS APLICADA À FAMÍLIA DE SATÉLITES</a:t>
          </a:r>
        </a:p>
      </xdr:txBody>
    </xdr:sp>
    <xdr:clientData/>
  </xdr:twoCellAnchor>
  <xdr:twoCellAnchor>
    <xdr:from>
      <xdr:col>2</xdr:col>
      <xdr:colOff>38100</xdr:colOff>
      <xdr:row>18</xdr:row>
      <xdr:rowOff>152399</xdr:rowOff>
    </xdr:from>
    <xdr:to>
      <xdr:col>7</xdr:col>
      <xdr:colOff>3175</xdr:colOff>
      <xdr:row>22</xdr:row>
      <xdr:rowOff>104774</xdr:rowOff>
    </xdr:to>
    <xdr:sp macro="" textlink="">
      <xdr:nvSpPr>
        <xdr:cNvPr id="3" name="TextBox 2"/>
        <xdr:cNvSpPr txBox="1"/>
      </xdr:nvSpPr>
      <xdr:spPr>
        <a:xfrm>
          <a:off x="1219200" y="3581399"/>
          <a:ext cx="2917825" cy="714375"/>
        </a:xfrm>
        <a:prstGeom prst="rect">
          <a:avLst/>
        </a:prstGeom>
        <a:solidFill>
          <a:srgbClr val="CCFFCC"/>
        </a:solidFill>
        <a:ln w="381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000"/>
            <a:t>RESULTADO</a:t>
          </a:r>
          <a:r>
            <a:rPr lang="en-US" sz="2000" baseline="0"/>
            <a:t> CONSOLIDADO</a:t>
          </a:r>
          <a:endParaRPr lang="en-US" sz="2000"/>
        </a:p>
      </xdr:txBody>
    </xdr:sp>
    <xdr:clientData/>
  </xdr:twoCellAnchor>
  <xdr:twoCellAnchor>
    <xdr:from>
      <xdr:col>10</xdr:col>
      <xdr:colOff>38100</xdr:colOff>
      <xdr:row>19</xdr:row>
      <xdr:rowOff>76200</xdr:rowOff>
    </xdr:from>
    <xdr:to>
      <xdr:col>13</xdr:col>
      <xdr:colOff>419100</xdr:colOff>
      <xdr:row>22</xdr:row>
      <xdr:rowOff>88900</xdr:rowOff>
    </xdr:to>
    <xdr:sp macro="" textlink="">
      <xdr:nvSpPr>
        <xdr:cNvPr id="4" name="TextBox 3"/>
        <xdr:cNvSpPr txBox="1"/>
      </xdr:nvSpPr>
      <xdr:spPr>
        <a:xfrm>
          <a:off x="6769100" y="3454400"/>
          <a:ext cx="2400300" cy="546100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381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000"/>
            <a:t>PLANILHA </a:t>
          </a:r>
          <a:r>
            <a:rPr lang="en-US" sz="2000" i="1"/>
            <a:t>TOTAL</a:t>
          </a:r>
        </a:p>
      </xdr:txBody>
    </xdr:sp>
    <xdr:clientData/>
  </xdr:twoCellAnchor>
  <xdr:twoCellAnchor>
    <xdr:from>
      <xdr:col>2</xdr:col>
      <xdr:colOff>12700</xdr:colOff>
      <xdr:row>24</xdr:row>
      <xdr:rowOff>38099</xdr:rowOff>
    </xdr:from>
    <xdr:to>
      <xdr:col>7</xdr:col>
      <xdr:colOff>393700</xdr:colOff>
      <xdr:row>28</xdr:row>
      <xdr:rowOff>47624</xdr:rowOff>
    </xdr:to>
    <xdr:sp macro="" textlink="">
      <xdr:nvSpPr>
        <xdr:cNvPr id="5" name="TextBox 4"/>
        <xdr:cNvSpPr txBox="1"/>
      </xdr:nvSpPr>
      <xdr:spPr>
        <a:xfrm>
          <a:off x="1193800" y="4610099"/>
          <a:ext cx="3333750" cy="771525"/>
        </a:xfrm>
        <a:prstGeom prst="rect">
          <a:avLst/>
        </a:prstGeom>
        <a:solidFill>
          <a:srgbClr val="CCFFCC"/>
        </a:solidFill>
        <a:ln w="381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000"/>
            <a:t>RESULTADOS</a:t>
          </a:r>
          <a:r>
            <a:rPr lang="en-US" sz="2000" baseline="0"/>
            <a:t> POR EQUIPAMENTO</a:t>
          </a:r>
          <a:endParaRPr lang="en-US" sz="2000"/>
        </a:p>
      </xdr:txBody>
    </xdr:sp>
    <xdr:clientData/>
  </xdr:twoCellAnchor>
  <xdr:twoCellAnchor>
    <xdr:from>
      <xdr:col>9</xdr:col>
      <xdr:colOff>609600</xdr:colOff>
      <xdr:row>24</xdr:row>
      <xdr:rowOff>63500</xdr:rowOff>
    </xdr:from>
    <xdr:to>
      <xdr:col>17</xdr:col>
      <xdr:colOff>292100</xdr:colOff>
      <xdr:row>29</xdr:row>
      <xdr:rowOff>25400</xdr:rowOff>
    </xdr:to>
    <xdr:sp macro="" textlink="">
      <xdr:nvSpPr>
        <xdr:cNvPr id="6" name="TextBox 5"/>
        <xdr:cNvSpPr txBox="1"/>
      </xdr:nvSpPr>
      <xdr:spPr>
        <a:xfrm>
          <a:off x="6667500" y="4330700"/>
          <a:ext cx="5067300" cy="850900"/>
        </a:xfrm>
        <a:prstGeom prst="rect">
          <a:avLst/>
        </a:prstGeom>
        <a:solidFill>
          <a:srgbClr val="B7DEE8"/>
        </a:solidFill>
        <a:ln w="381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000"/>
            <a:t>PLANILHAS: </a:t>
          </a:r>
          <a:r>
            <a:rPr lang="en-US" sz="2000" i="1"/>
            <a:t>ARRASTO</a:t>
          </a:r>
          <a:r>
            <a:rPr lang="en-US" sz="2000"/>
            <a:t>, </a:t>
          </a:r>
          <a:r>
            <a:rPr lang="en-US" sz="2000" i="1"/>
            <a:t>TORQUE</a:t>
          </a:r>
          <a:r>
            <a:rPr lang="en-US" sz="2000"/>
            <a:t>, </a:t>
          </a:r>
          <a:r>
            <a:rPr lang="en-US" sz="2000" i="1"/>
            <a:t>CMAGNETICO</a:t>
          </a:r>
          <a:r>
            <a:rPr lang="en-US" sz="2000"/>
            <a:t>, </a:t>
          </a:r>
          <a:r>
            <a:rPr lang="en-US" sz="2000" i="1"/>
            <a:t>ENERGIA</a:t>
          </a:r>
          <a:r>
            <a:rPr lang="en-US" sz="2000"/>
            <a:t>, </a:t>
          </a:r>
          <a:r>
            <a:rPr lang="en-US" sz="2000" i="1"/>
            <a:t>RADIAÇÃO</a:t>
          </a:r>
          <a:r>
            <a:rPr lang="en-US" sz="2000"/>
            <a:t> E </a:t>
          </a:r>
          <a:r>
            <a:rPr lang="en-US" sz="2000" i="1"/>
            <a:t>LANÇADORES</a:t>
          </a:r>
        </a:p>
      </xdr:txBody>
    </xdr:sp>
    <xdr:clientData/>
  </xdr:twoCellAnchor>
  <xdr:twoCellAnchor>
    <xdr:from>
      <xdr:col>2</xdr:col>
      <xdr:colOff>38100</xdr:colOff>
      <xdr:row>30</xdr:row>
      <xdr:rowOff>66675</xdr:rowOff>
    </xdr:from>
    <xdr:to>
      <xdr:col>6</xdr:col>
      <xdr:colOff>546100</xdr:colOff>
      <xdr:row>34</xdr:row>
      <xdr:rowOff>63500</xdr:rowOff>
    </xdr:to>
    <xdr:sp macro="" textlink="">
      <xdr:nvSpPr>
        <xdr:cNvPr id="7" name="TextBox 6"/>
        <xdr:cNvSpPr txBox="1"/>
      </xdr:nvSpPr>
      <xdr:spPr>
        <a:xfrm>
          <a:off x="1219200" y="5781675"/>
          <a:ext cx="2870200" cy="758825"/>
        </a:xfrm>
        <a:prstGeom prst="rect">
          <a:avLst/>
        </a:prstGeom>
        <a:solidFill>
          <a:srgbClr val="CCFFCC"/>
        </a:solidFill>
        <a:ln w="381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000"/>
            <a:t>PARÂMETROS DE ENTRADA</a:t>
          </a:r>
        </a:p>
      </xdr:txBody>
    </xdr:sp>
    <xdr:clientData/>
  </xdr:twoCellAnchor>
  <xdr:twoCellAnchor>
    <xdr:from>
      <xdr:col>10</xdr:col>
      <xdr:colOff>0</xdr:colOff>
      <xdr:row>31</xdr:row>
      <xdr:rowOff>127000</xdr:rowOff>
    </xdr:from>
    <xdr:to>
      <xdr:col>14</xdr:col>
      <xdr:colOff>114300</xdr:colOff>
      <xdr:row>34</xdr:row>
      <xdr:rowOff>139700</xdr:rowOff>
    </xdr:to>
    <xdr:sp macro="" textlink="">
      <xdr:nvSpPr>
        <xdr:cNvPr id="8" name="TextBox 7"/>
        <xdr:cNvSpPr txBox="1"/>
      </xdr:nvSpPr>
      <xdr:spPr>
        <a:xfrm>
          <a:off x="5905500" y="6032500"/>
          <a:ext cx="2476500" cy="584200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381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000"/>
            <a:t>PLANILHA </a:t>
          </a:r>
          <a:r>
            <a:rPr lang="en-US" sz="2000" i="1"/>
            <a:t>ENTRADAS</a:t>
          </a:r>
        </a:p>
      </xdr:txBody>
    </xdr:sp>
    <xdr:clientData/>
  </xdr:twoCellAnchor>
  <xdr:twoCellAnchor>
    <xdr:from>
      <xdr:col>2</xdr:col>
      <xdr:colOff>38100</xdr:colOff>
      <xdr:row>35</xdr:row>
      <xdr:rowOff>95251</xdr:rowOff>
    </xdr:from>
    <xdr:to>
      <xdr:col>7</xdr:col>
      <xdr:colOff>523875</xdr:colOff>
      <xdr:row>41</xdr:row>
      <xdr:rowOff>38100</xdr:rowOff>
    </xdr:to>
    <xdr:sp macro="" textlink="">
      <xdr:nvSpPr>
        <xdr:cNvPr id="9" name="TextBox 8"/>
        <xdr:cNvSpPr txBox="1"/>
      </xdr:nvSpPr>
      <xdr:spPr>
        <a:xfrm>
          <a:off x="1219200" y="6762751"/>
          <a:ext cx="3438525" cy="1085849"/>
        </a:xfrm>
        <a:prstGeom prst="rect">
          <a:avLst/>
        </a:prstGeom>
        <a:solidFill>
          <a:srgbClr val="CCFFCC"/>
        </a:solidFill>
        <a:ln w="381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000"/>
            <a:t>EQUIPAMENTOS DE</a:t>
          </a:r>
          <a:r>
            <a:rPr lang="en-US" sz="2000" baseline="0"/>
            <a:t> REFERENCIA PARA CÁLCULO MASSA ESPECÍFICA</a:t>
          </a:r>
          <a:endParaRPr lang="en-US" sz="2000"/>
        </a:p>
      </xdr:txBody>
    </xdr:sp>
    <xdr:clientData/>
  </xdr:twoCellAnchor>
  <xdr:twoCellAnchor>
    <xdr:from>
      <xdr:col>10</xdr:col>
      <xdr:colOff>0</xdr:colOff>
      <xdr:row>36</xdr:row>
      <xdr:rowOff>76200</xdr:rowOff>
    </xdr:from>
    <xdr:to>
      <xdr:col>15</xdr:col>
      <xdr:colOff>247650</xdr:colOff>
      <xdr:row>39</xdr:row>
      <xdr:rowOff>88900</xdr:rowOff>
    </xdr:to>
    <xdr:sp macro="" textlink="">
      <xdr:nvSpPr>
        <xdr:cNvPr id="10" name="TextBox 9"/>
        <xdr:cNvSpPr txBox="1"/>
      </xdr:nvSpPr>
      <xdr:spPr>
        <a:xfrm>
          <a:off x="5905500" y="6934200"/>
          <a:ext cx="3200400" cy="584200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381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000"/>
            <a:t>PLANILHA </a:t>
          </a:r>
          <a:r>
            <a:rPr lang="en-US" sz="2000" i="1"/>
            <a:t>CAPAC_ESP</a:t>
          </a:r>
        </a:p>
      </xdr:txBody>
    </xdr:sp>
    <xdr:clientData/>
  </xdr:twoCellAnchor>
  <xdr:twoCellAnchor>
    <xdr:from>
      <xdr:col>2</xdr:col>
      <xdr:colOff>0</xdr:colOff>
      <xdr:row>42</xdr:row>
      <xdr:rowOff>63500</xdr:rowOff>
    </xdr:from>
    <xdr:to>
      <xdr:col>6</xdr:col>
      <xdr:colOff>457200</xdr:colOff>
      <xdr:row>46</xdr:row>
      <xdr:rowOff>63500</xdr:rowOff>
    </xdr:to>
    <xdr:sp macro="" textlink="">
      <xdr:nvSpPr>
        <xdr:cNvPr id="11" name="TextBox 10"/>
        <xdr:cNvSpPr txBox="1"/>
      </xdr:nvSpPr>
      <xdr:spPr>
        <a:xfrm>
          <a:off x="1346200" y="7353300"/>
          <a:ext cx="3149600" cy="711200"/>
        </a:xfrm>
        <a:prstGeom prst="rect">
          <a:avLst/>
        </a:prstGeom>
        <a:solidFill>
          <a:srgbClr val="CCFFCC"/>
        </a:solidFill>
        <a:ln w="381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000"/>
            <a:t>CONSTANTES E DADOS DAS SIMULAÇÕES</a:t>
          </a:r>
        </a:p>
      </xdr:txBody>
    </xdr:sp>
    <xdr:clientData/>
  </xdr:twoCellAnchor>
  <xdr:twoCellAnchor>
    <xdr:from>
      <xdr:col>9</xdr:col>
      <xdr:colOff>647700</xdr:colOff>
      <xdr:row>42</xdr:row>
      <xdr:rowOff>88900</xdr:rowOff>
    </xdr:from>
    <xdr:to>
      <xdr:col>15</xdr:col>
      <xdr:colOff>660400</xdr:colOff>
      <xdr:row>47</xdr:row>
      <xdr:rowOff>12700</xdr:rowOff>
    </xdr:to>
    <xdr:sp macro="" textlink="">
      <xdr:nvSpPr>
        <xdr:cNvPr id="12" name="TextBox 11"/>
        <xdr:cNvSpPr txBox="1"/>
      </xdr:nvSpPr>
      <xdr:spPr>
        <a:xfrm>
          <a:off x="6705600" y="7378700"/>
          <a:ext cx="4051300" cy="812800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381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000"/>
            <a:t>PLANILHAS: </a:t>
          </a:r>
          <a:r>
            <a:rPr lang="en-US" sz="2000" i="1"/>
            <a:t>PARÂMETROS GERAIS </a:t>
          </a:r>
          <a:r>
            <a:rPr lang="en-US" sz="2000"/>
            <a:t>E </a:t>
          </a:r>
          <a:r>
            <a:rPr lang="en-US" sz="2000" i="1"/>
            <a:t>PARÂMETROS BLIND</a:t>
          </a:r>
        </a:p>
      </xdr:txBody>
    </xdr:sp>
    <xdr:clientData/>
  </xdr:twoCellAnchor>
  <xdr:twoCellAnchor>
    <xdr:from>
      <xdr:col>13</xdr:col>
      <xdr:colOff>25399</xdr:colOff>
      <xdr:row>1</xdr:row>
      <xdr:rowOff>101600</xdr:rowOff>
    </xdr:from>
    <xdr:to>
      <xdr:col>15</xdr:col>
      <xdr:colOff>409574</xdr:colOff>
      <xdr:row>5</xdr:row>
      <xdr:rowOff>127000</xdr:rowOff>
    </xdr:to>
    <xdr:sp macro="" textlink="">
      <xdr:nvSpPr>
        <xdr:cNvPr id="13" name="TextBox 12"/>
        <xdr:cNvSpPr txBox="1"/>
      </xdr:nvSpPr>
      <xdr:spPr>
        <a:xfrm>
          <a:off x="7702549" y="292100"/>
          <a:ext cx="1565275" cy="787400"/>
        </a:xfrm>
        <a:prstGeom prst="rect">
          <a:avLst/>
        </a:prstGeom>
        <a:solidFill>
          <a:schemeClr val="accent3">
            <a:lumMod val="60000"/>
            <a:lumOff val="40000"/>
          </a:schemeClr>
        </a:solidFill>
        <a:ln w="381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000" b="1"/>
            <a:t>VERSÃO 1.0</a:t>
          </a:r>
        </a:p>
        <a:p>
          <a:r>
            <a:rPr lang="en-US" sz="2000" i="1"/>
            <a:t>19/10/2012</a:t>
          </a:r>
        </a:p>
      </xdr:txBody>
    </xdr:sp>
    <xdr:clientData/>
  </xdr:twoCellAnchor>
  <xdr:twoCellAnchor>
    <xdr:from>
      <xdr:col>7</xdr:col>
      <xdr:colOff>317500</xdr:colOff>
      <xdr:row>19</xdr:row>
      <xdr:rowOff>25400</xdr:rowOff>
    </xdr:from>
    <xdr:to>
      <xdr:col>9</xdr:col>
      <xdr:colOff>330200</xdr:colOff>
      <xdr:row>21</xdr:row>
      <xdr:rowOff>101600</xdr:rowOff>
    </xdr:to>
    <xdr:sp macro="" textlink="">
      <xdr:nvSpPr>
        <xdr:cNvPr id="14" name="Right Arrow 13"/>
        <xdr:cNvSpPr/>
      </xdr:nvSpPr>
      <xdr:spPr>
        <a:xfrm>
          <a:off x="5029200" y="3403600"/>
          <a:ext cx="1358900" cy="431800"/>
        </a:xfrm>
        <a:prstGeom prst="rightArrow">
          <a:avLst/>
        </a:prstGeom>
        <a:solidFill>
          <a:srgbClr val="FF0000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12700</xdr:colOff>
      <xdr:row>24</xdr:row>
      <xdr:rowOff>114300</xdr:rowOff>
    </xdr:from>
    <xdr:to>
      <xdr:col>9</xdr:col>
      <xdr:colOff>114300</xdr:colOff>
      <xdr:row>27</xdr:row>
      <xdr:rowOff>12700</xdr:rowOff>
    </xdr:to>
    <xdr:sp macro="" textlink="">
      <xdr:nvSpPr>
        <xdr:cNvPr id="15" name="Right Arrow 14"/>
        <xdr:cNvSpPr/>
      </xdr:nvSpPr>
      <xdr:spPr>
        <a:xfrm>
          <a:off x="5397500" y="4381500"/>
          <a:ext cx="774700" cy="431800"/>
        </a:xfrm>
        <a:prstGeom prst="rightArrow">
          <a:avLst/>
        </a:prstGeom>
        <a:solidFill>
          <a:srgbClr val="FF0000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152400</xdr:colOff>
      <xdr:row>31</xdr:row>
      <xdr:rowOff>114300</xdr:rowOff>
    </xdr:from>
    <xdr:to>
      <xdr:col>9</xdr:col>
      <xdr:colOff>292100</xdr:colOff>
      <xdr:row>34</xdr:row>
      <xdr:rowOff>12700</xdr:rowOff>
    </xdr:to>
    <xdr:sp macro="" textlink="">
      <xdr:nvSpPr>
        <xdr:cNvPr id="16" name="Right Arrow 15"/>
        <xdr:cNvSpPr/>
      </xdr:nvSpPr>
      <xdr:spPr>
        <a:xfrm>
          <a:off x="4864100" y="5626100"/>
          <a:ext cx="1485900" cy="431800"/>
        </a:xfrm>
        <a:prstGeom prst="rightArrow">
          <a:avLst/>
        </a:prstGeom>
        <a:solidFill>
          <a:srgbClr val="FF0000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114300</xdr:colOff>
      <xdr:row>36</xdr:row>
      <xdr:rowOff>165100</xdr:rowOff>
    </xdr:from>
    <xdr:to>
      <xdr:col>9</xdr:col>
      <xdr:colOff>355600</xdr:colOff>
      <xdr:row>39</xdr:row>
      <xdr:rowOff>63500</xdr:rowOff>
    </xdr:to>
    <xdr:sp macro="" textlink="">
      <xdr:nvSpPr>
        <xdr:cNvPr id="17" name="Right Arrow 16"/>
        <xdr:cNvSpPr/>
      </xdr:nvSpPr>
      <xdr:spPr>
        <a:xfrm>
          <a:off x="5499100" y="6565900"/>
          <a:ext cx="914400" cy="431800"/>
        </a:xfrm>
        <a:prstGeom prst="rightArrow">
          <a:avLst/>
        </a:prstGeom>
        <a:solidFill>
          <a:srgbClr val="FF0000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50800</xdr:colOff>
      <xdr:row>43</xdr:row>
      <xdr:rowOff>38100</xdr:rowOff>
    </xdr:from>
    <xdr:to>
      <xdr:col>9</xdr:col>
      <xdr:colOff>330200</xdr:colOff>
      <xdr:row>45</xdr:row>
      <xdr:rowOff>114300</xdr:rowOff>
    </xdr:to>
    <xdr:sp macro="" textlink="">
      <xdr:nvSpPr>
        <xdr:cNvPr id="18" name="Right Arrow 17"/>
        <xdr:cNvSpPr/>
      </xdr:nvSpPr>
      <xdr:spPr>
        <a:xfrm>
          <a:off x="4762500" y="7683500"/>
          <a:ext cx="1625600" cy="431800"/>
        </a:xfrm>
        <a:prstGeom prst="rightArrow">
          <a:avLst/>
        </a:prstGeom>
        <a:solidFill>
          <a:srgbClr val="FF0000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12699</xdr:colOff>
      <xdr:row>7</xdr:row>
      <xdr:rowOff>63500</xdr:rowOff>
    </xdr:from>
    <xdr:to>
      <xdr:col>16</xdr:col>
      <xdr:colOff>352424</xdr:colOff>
      <xdr:row>11</xdr:row>
      <xdr:rowOff>88900</xdr:rowOff>
    </xdr:to>
    <xdr:sp macro="" textlink="">
      <xdr:nvSpPr>
        <xdr:cNvPr id="19" name="TextBox 18"/>
        <xdr:cNvSpPr txBox="1"/>
      </xdr:nvSpPr>
      <xdr:spPr>
        <a:xfrm>
          <a:off x="7689849" y="1397000"/>
          <a:ext cx="2111375" cy="787400"/>
        </a:xfrm>
        <a:prstGeom prst="rect">
          <a:avLst/>
        </a:prstGeom>
        <a:solidFill>
          <a:srgbClr val="C3D69B"/>
        </a:solidFill>
        <a:ln w="381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000" b="1"/>
            <a:t>AUTOR</a:t>
          </a:r>
        </a:p>
        <a:p>
          <a:r>
            <a:rPr lang="en-US" sz="2000" i="1"/>
            <a:t>O. L. BOGOSSIAN</a:t>
          </a:r>
        </a:p>
      </xdr:txBody>
    </xdr:sp>
    <xdr:clientData/>
  </xdr:twoCellAnchor>
  <xdr:twoCellAnchor>
    <xdr:from>
      <xdr:col>13</xdr:col>
      <xdr:colOff>0</xdr:colOff>
      <xdr:row>12</xdr:row>
      <xdr:rowOff>152400</xdr:rowOff>
    </xdr:from>
    <xdr:to>
      <xdr:col>16</xdr:col>
      <xdr:colOff>0</xdr:colOff>
      <xdr:row>17</xdr:row>
      <xdr:rowOff>0</xdr:rowOff>
    </xdr:to>
    <xdr:sp macro="" textlink="">
      <xdr:nvSpPr>
        <xdr:cNvPr id="20" name="TextBox 19"/>
        <xdr:cNvSpPr txBox="1"/>
      </xdr:nvSpPr>
      <xdr:spPr>
        <a:xfrm>
          <a:off x="7677150" y="2438400"/>
          <a:ext cx="1771650" cy="800100"/>
        </a:xfrm>
        <a:prstGeom prst="rect">
          <a:avLst/>
        </a:prstGeom>
        <a:solidFill>
          <a:srgbClr val="C3D69B"/>
        </a:solidFill>
        <a:ln w="381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000" b="1"/>
            <a:t>PROPRIEDADE</a:t>
          </a:r>
        </a:p>
        <a:p>
          <a:r>
            <a:rPr lang="en-US" sz="2000" i="1"/>
            <a:t>INPE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165100</xdr:colOff>
      <xdr:row>90</xdr:row>
      <xdr:rowOff>123825</xdr:rowOff>
    </xdr:from>
    <xdr:to>
      <xdr:col>10</xdr:col>
      <xdr:colOff>850900</xdr:colOff>
      <xdr:row>104</xdr:row>
      <xdr:rowOff>22225</xdr:rowOff>
    </xdr:to>
    <xdr:graphicFrame macro="">
      <xdr:nvGraphicFramePr>
        <xdr:cNvPr id="4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635000</xdr:colOff>
      <xdr:row>165</xdr:row>
      <xdr:rowOff>114299</xdr:rowOff>
    </xdr:from>
    <xdr:to>
      <xdr:col>9</xdr:col>
      <xdr:colOff>641350</xdr:colOff>
      <xdr:row>180</xdr:row>
      <xdr:rowOff>123824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228600</xdr:colOff>
      <xdr:row>207</xdr:row>
      <xdr:rowOff>88900</xdr:rowOff>
    </xdr:from>
    <xdr:to>
      <xdr:col>8</xdr:col>
      <xdr:colOff>254000</xdr:colOff>
      <xdr:row>221</xdr:row>
      <xdr:rowOff>165100</xdr:rowOff>
    </xdr:to>
    <xdr:graphicFrame macro="">
      <xdr:nvGraphicFramePr>
        <xdr:cNvPr id="5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114300</xdr:colOff>
      <xdr:row>184</xdr:row>
      <xdr:rowOff>88900</xdr:rowOff>
    </xdr:from>
    <xdr:to>
      <xdr:col>10</xdr:col>
      <xdr:colOff>619126</xdr:colOff>
      <xdr:row>199</xdr:row>
      <xdr:rowOff>165100</xdr:rowOff>
    </xdr:to>
    <xdr:graphicFrame macro="">
      <xdr:nvGraphicFramePr>
        <xdr:cNvPr id="9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</xdr:colOff>
      <xdr:row>133</xdr:row>
      <xdr:rowOff>139700</xdr:rowOff>
    </xdr:from>
    <xdr:to>
      <xdr:col>8</xdr:col>
      <xdr:colOff>174625</xdr:colOff>
      <xdr:row>148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25400</xdr:colOff>
      <xdr:row>151</xdr:row>
      <xdr:rowOff>12700</xdr:rowOff>
    </xdr:from>
    <xdr:to>
      <xdr:col>8</xdr:col>
      <xdr:colOff>187325</xdr:colOff>
      <xdr:row>165</xdr:row>
      <xdr:rowOff>88900</xdr:rowOff>
    </xdr:to>
    <xdr:graphicFrame macro="">
      <xdr:nvGraphicFramePr>
        <xdr:cNvPr id="5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99868</xdr:colOff>
      <xdr:row>60</xdr:row>
      <xdr:rowOff>122959</xdr:rowOff>
    </xdr:from>
    <xdr:to>
      <xdr:col>7</xdr:col>
      <xdr:colOff>445077</xdr:colOff>
      <xdr:row>75</xdr:row>
      <xdr:rowOff>21359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6928</xdr:colOff>
      <xdr:row>60</xdr:row>
      <xdr:rowOff>143740</xdr:rowOff>
    </xdr:from>
    <xdr:to>
      <xdr:col>16</xdr:col>
      <xdr:colOff>180110</xdr:colOff>
      <xdr:row>75</xdr:row>
      <xdr:rowOff>29440</xdr:rowOff>
    </xdr:to>
    <xdr:graphicFrame macro="">
      <xdr:nvGraphicFramePr>
        <xdr:cNvPr id="11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>
      <selection activeCell="R37" sqref="R37"/>
    </sheetView>
  </sheetViews>
  <sheetFormatPr defaultColWidth="8.85546875" defaultRowHeight="15"/>
  <sheetData/>
  <sheetProtection password="CAF5" sheet="1" objects="1" scenarios="1"/>
  <pageMargins left="0.7" right="0.7" top="0.75" bottom="0.75" header="0.3" footer="0.3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>
  <dimension ref="A1:X58"/>
  <sheetViews>
    <sheetView topLeftCell="A29" workbookViewId="0">
      <selection activeCell="B48" sqref="B48:I58"/>
    </sheetView>
  </sheetViews>
  <sheetFormatPr defaultColWidth="8.85546875" defaultRowHeight="15"/>
  <cols>
    <col min="1" max="1" width="2.28515625" style="155" customWidth="1"/>
    <col min="3" max="3" width="9.42578125" customWidth="1"/>
    <col min="4" max="4" width="6.7109375" customWidth="1"/>
    <col min="5" max="5" width="6" customWidth="1"/>
    <col min="6" max="6" width="6.28515625" customWidth="1"/>
    <col min="7" max="7" width="5.85546875" customWidth="1"/>
    <col min="8" max="8" width="6" customWidth="1"/>
    <col min="9" max="9" width="6.42578125" customWidth="1"/>
    <col min="10" max="10" width="6.140625" customWidth="1"/>
    <col min="11" max="11" width="8.7109375" customWidth="1"/>
    <col min="12" max="12" width="4.85546875" customWidth="1"/>
    <col min="13" max="13" width="5.42578125" customWidth="1"/>
    <col min="14" max="15" width="6.140625" customWidth="1"/>
    <col min="16" max="16" width="6.42578125" customWidth="1"/>
    <col min="17" max="17" width="5.42578125" customWidth="1"/>
    <col min="18" max="18" width="6.140625" customWidth="1"/>
    <col min="19" max="19" width="6" customWidth="1"/>
    <col min="20" max="20" width="7.28515625" customWidth="1"/>
    <col min="21" max="21" width="6.42578125" customWidth="1"/>
  </cols>
  <sheetData>
    <row r="1" spans="2:12">
      <c r="B1" s="5" t="s">
        <v>304</v>
      </c>
    </row>
    <row r="2" spans="2:12" ht="105">
      <c r="B2" s="5"/>
      <c r="C2" s="468"/>
      <c r="D2" s="546" t="s">
        <v>307</v>
      </c>
      <c r="E2" s="546" t="s">
        <v>309</v>
      </c>
      <c r="F2" s="510" t="s">
        <v>437</v>
      </c>
      <c r="G2" s="510" t="s">
        <v>438</v>
      </c>
      <c r="H2" s="20"/>
      <c r="I2" s="20"/>
      <c r="J2" s="20"/>
      <c r="K2" s="19"/>
      <c r="L2" s="24"/>
    </row>
    <row r="3" spans="2:12" ht="17.25">
      <c r="B3" s="5"/>
      <c r="C3" s="115"/>
      <c r="D3" s="468" t="s">
        <v>308</v>
      </c>
      <c r="E3" s="468" t="s">
        <v>310</v>
      </c>
      <c r="F3" s="468" t="s">
        <v>308</v>
      </c>
      <c r="G3" s="468" t="s">
        <v>310</v>
      </c>
      <c r="H3" s="13"/>
      <c r="I3" s="13"/>
      <c r="J3" s="13"/>
      <c r="K3" s="78"/>
    </row>
    <row r="4" spans="2:12">
      <c r="C4" s="132" t="s">
        <v>305</v>
      </c>
      <c r="D4" s="115"/>
      <c r="E4" s="115"/>
      <c r="F4" s="115"/>
      <c r="G4" s="115"/>
    </row>
    <row r="5" spans="2:12">
      <c r="C5" s="115" t="s">
        <v>5</v>
      </c>
      <c r="D5" s="409">
        <f>Pmax*EBSS400H10ME/(Vmin*Sh*Efdb*Dod)</f>
        <v>36.301005545142147</v>
      </c>
      <c r="E5" s="409">
        <f>Pmax*(T_400*Efcb*Efdb+DESSO400H10*(1-Efcb*Efdb))/((T_400-DESSO400H10)*Scte*Efcell*Efcb*Efdb*Efte*BESSO400H10)</f>
        <v>3.7681153157617993</v>
      </c>
      <c r="F5" s="409">
        <f>+D5*(Mdb+1)</f>
        <v>36.301005545142147</v>
      </c>
      <c r="G5" s="409">
        <f>+E5*(1+Mdps)</f>
        <v>3.7681153157617993</v>
      </c>
      <c r="H5" s="15"/>
      <c r="I5" s="15"/>
      <c r="J5" s="15"/>
      <c r="K5" s="75"/>
    </row>
    <row r="6" spans="2:12">
      <c r="C6" s="115" t="s">
        <v>33</v>
      </c>
      <c r="D6" s="409">
        <f>Pmax*MESSO700H10/(Vmin*Sh*Efdb*Dod)</f>
        <v>35.128884853691552</v>
      </c>
      <c r="E6" s="409">
        <f>Pmax*(T_700*Efcb*Efdb+DESSO700H10*(1-Efcb*Efdb))/((T_700-DESSO700H10)*Scte*Efcell*Efcb*Efte*BESSO700H10)</f>
        <v>3.4334031143628465</v>
      </c>
      <c r="F6" s="409">
        <f>+D6*(Mdb+1)</f>
        <v>35.128884853691552</v>
      </c>
      <c r="G6" s="409">
        <f>+E6*(1+Mdps)</f>
        <v>3.4334031143628465</v>
      </c>
      <c r="H6" s="15"/>
      <c r="I6" s="15"/>
      <c r="J6" s="15"/>
    </row>
    <row r="7" spans="2:12">
      <c r="C7" s="115" t="s">
        <v>19</v>
      </c>
      <c r="D7" s="409">
        <f>Pmax*Efdb*MESSO1500H10/(Vmin*Sh*Efdb*Dod)</f>
        <v>33.005348484848483</v>
      </c>
      <c r="E7" s="409">
        <f>Pmax*(T_1500*Efcb*Efdb+DESSO1500H10*(1-Efcb*Efdb))/((T_1500-DESSO1500H10)*Scte*Efcell*Efcb*Efdb*Efte*BESSO1500H10)</f>
        <v>3.1878602007588381</v>
      </c>
      <c r="F7" s="409">
        <f>+D7*(Mdb+1)</f>
        <v>33.005348484848483</v>
      </c>
      <c r="G7" s="409">
        <f>+E7*(1+Mdps)</f>
        <v>3.1878602007588381</v>
      </c>
      <c r="H7" s="15"/>
      <c r="I7" s="15"/>
      <c r="J7" s="15"/>
      <c r="K7" s="78"/>
    </row>
    <row r="8" spans="2:12">
      <c r="C8" s="115"/>
      <c r="D8" s="115"/>
      <c r="E8" s="115"/>
      <c r="F8" s="115"/>
      <c r="G8" s="115"/>
      <c r="K8" s="76"/>
    </row>
    <row r="9" spans="2:12">
      <c r="C9" s="132" t="s">
        <v>306</v>
      </c>
      <c r="D9" s="115"/>
      <c r="E9" s="115"/>
      <c r="F9" s="115"/>
      <c r="G9" s="115"/>
      <c r="K9" s="76"/>
    </row>
    <row r="10" spans="2:12">
      <c r="C10" s="115" t="s">
        <v>5</v>
      </c>
      <c r="D10" s="409">
        <f>Pmax*MESSO400H12/(Vmin*Sh*Efdb*Dod)</f>
        <v>37.325421092366966</v>
      </c>
      <c r="E10" s="409">
        <f>Pmax*(T_400*Efcb*Efdb+DESSO400H12*(1-Efcb*Efdb))/((T_400-DESSO400H12)*Scte*Efcell*Efcb*Efdb*Efte*BESSO400H12)</f>
        <v>3.2584125087510318</v>
      </c>
      <c r="F10" s="409">
        <f>+D10*(Mdb+1)</f>
        <v>37.325421092366966</v>
      </c>
      <c r="G10" s="409">
        <f>+E10*(1+Mdps)</f>
        <v>3.2584125087510318</v>
      </c>
      <c r="H10" s="15"/>
      <c r="I10" s="15"/>
      <c r="J10" s="15"/>
      <c r="K10" s="75"/>
    </row>
    <row r="11" spans="2:12">
      <c r="C11" s="115" t="s">
        <v>33</v>
      </c>
      <c r="D11" s="409">
        <f>Pmax*Efdb*MESSO700H12/(Vmin*Sh*Efdb*Dod)</f>
        <v>35.429077967171715</v>
      </c>
      <c r="E11" s="409">
        <f>Pmax*(T_700*Efcb*Efdb+DESSO700H12*(1-Efcb*Efdb))/((T_700-DESSO700H12)*Scte*Efcell*Efcb*Efdb*Efte*BESSO700H12)</f>
        <v>3.08926386268634</v>
      </c>
      <c r="F11" s="409">
        <f>+D11*(Mdb+1)</f>
        <v>35.429077967171715</v>
      </c>
      <c r="G11" s="409">
        <f>+E11*(1+Mdps)</f>
        <v>3.08926386268634</v>
      </c>
      <c r="H11" s="15"/>
      <c r="I11" s="15"/>
      <c r="J11" s="15"/>
      <c r="K11" s="78"/>
    </row>
    <row r="12" spans="2:12">
      <c r="C12" s="115" t="s">
        <v>19</v>
      </c>
      <c r="D12" s="409">
        <f>Pmax*Efdb*MESSO1500H12/(Vmin*Sh*Efdb*Dod)</f>
        <v>35.026124053030308</v>
      </c>
      <c r="E12" s="409">
        <f>Pmax*(T_1500*Efcb*Efdb+DESSO1500H12*(1-Efcb*Efdb))/((T_1500-DESSO1500H12)*Scte*Efcell*Efcb*Efdb*Efte*BESSO1500H12)</f>
        <v>2.832854710579952</v>
      </c>
      <c r="F12" s="409">
        <f>+D12*(Mdb+1)</f>
        <v>35.026124053030308</v>
      </c>
      <c r="G12" s="409">
        <f>+E12*(1+Mdps)</f>
        <v>2.832854710579952</v>
      </c>
      <c r="H12" s="15"/>
      <c r="I12" s="15"/>
      <c r="J12" s="15"/>
      <c r="K12" s="78"/>
    </row>
    <row r="13" spans="2:12" ht="15.75" thickBot="1">
      <c r="D13" s="15"/>
      <c r="E13" s="15"/>
      <c r="F13" s="15"/>
      <c r="G13" s="15"/>
      <c r="H13" s="15"/>
      <c r="I13" s="15"/>
      <c r="J13" s="15"/>
      <c r="K13" s="15"/>
    </row>
    <row r="14" spans="2:12" ht="75">
      <c r="D14" s="547" t="s">
        <v>440</v>
      </c>
      <c r="E14" s="548" t="s">
        <v>439</v>
      </c>
      <c r="F14" s="548" t="s">
        <v>441</v>
      </c>
      <c r="G14" s="548" t="s">
        <v>442</v>
      </c>
      <c r="H14" s="548" t="s">
        <v>440</v>
      </c>
      <c r="I14" s="548" t="s">
        <v>439</v>
      </c>
      <c r="J14" s="548" t="s">
        <v>441</v>
      </c>
      <c r="K14" s="518" t="s">
        <v>442</v>
      </c>
    </row>
    <row r="15" spans="2:12" ht="18" thickBot="1">
      <c r="D15" s="549" t="s">
        <v>308</v>
      </c>
      <c r="E15" s="541" t="s">
        <v>310</v>
      </c>
      <c r="F15" s="541" t="s">
        <v>308</v>
      </c>
      <c r="G15" s="541" t="s">
        <v>310</v>
      </c>
      <c r="H15" s="541" t="s">
        <v>308</v>
      </c>
      <c r="I15" s="541" t="s">
        <v>310</v>
      </c>
      <c r="J15" s="541" t="s">
        <v>308</v>
      </c>
      <c r="K15" s="550" t="s">
        <v>310</v>
      </c>
    </row>
    <row r="16" spans="2:12">
      <c r="B16" s="116" t="s">
        <v>331</v>
      </c>
      <c r="C16" s="123"/>
      <c r="D16" s="650" t="s">
        <v>327</v>
      </c>
      <c r="E16" s="650"/>
      <c r="F16" s="650" t="s">
        <v>327</v>
      </c>
      <c r="G16" s="650"/>
      <c r="H16" s="648" t="s">
        <v>332</v>
      </c>
      <c r="I16" s="648"/>
      <c r="J16" s="648" t="s">
        <v>332</v>
      </c>
      <c r="K16" s="649"/>
    </row>
    <row r="17" spans="2:12">
      <c r="B17" s="519"/>
      <c r="C17" s="115"/>
      <c r="D17" s="115"/>
      <c r="E17" s="115"/>
      <c r="F17" s="115"/>
      <c r="G17" s="115"/>
      <c r="H17" s="508"/>
      <c r="I17" s="509"/>
      <c r="J17" s="509"/>
      <c r="K17" s="551"/>
      <c r="L17" s="24"/>
    </row>
    <row r="18" spans="2:12">
      <c r="B18" s="118"/>
      <c r="C18" s="115" t="s">
        <v>5</v>
      </c>
      <c r="D18" s="409">
        <f>Pmax*EBEQ0400ME/(Vmin*Sh*Efdb*Dod)</f>
        <v>37.407069405394147</v>
      </c>
      <c r="E18" s="409">
        <f>Pmax*(T_400*Efcb*Efdb+EBEQ0400DE*(1-Efcb*Efdb))/((T_400-EBEQ0400DE)*Scte*Efcell*Efcb*Efdb*Efte*EBEQ0400BE)</f>
        <v>3.4851504200937882</v>
      </c>
      <c r="F18" s="409">
        <f>+D18*(Mdb+1)</f>
        <v>37.407069405394147</v>
      </c>
      <c r="G18" s="409">
        <f>+E18*(1+Mdps)</f>
        <v>3.4851504200937882</v>
      </c>
      <c r="H18" s="409"/>
      <c r="I18" s="409"/>
      <c r="J18" s="409"/>
      <c r="K18" s="376"/>
    </row>
    <row r="19" spans="2:12">
      <c r="B19" s="118"/>
      <c r="C19" s="115" t="s">
        <v>33</v>
      </c>
      <c r="D19" s="409">
        <f>Pmax*EBEQ0700ME/(Vmin*Sh*Efdb*Dod)</f>
        <v>37.234286811413099</v>
      </c>
      <c r="E19" s="409">
        <f>Pmax*(T_700*Efcb*Efdb+EBEQ0700DE*(1-Efcb*Efdb))/((T_700-EBEQ0700DE)*Scte*Efcell*Efcb*Efdb*Efte*EBEQ0700BE)</f>
        <v>3.2852396649434539</v>
      </c>
      <c r="F19" s="409">
        <f>+D19*(Mdb+1)</f>
        <v>37.234286811413099</v>
      </c>
      <c r="G19" s="409">
        <f>+E19*(1+Mdps)</f>
        <v>3.2852396649434539</v>
      </c>
      <c r="H19" s="409">
        <f>Pmax*EBEQ0700ME/(Vmin*Sh*Efdb*Dod)</f>
        <v>37.234286811413099</v>
      </c>
      <c r="I19" s="409">
        <f>Pmax*(T_700*Efcb*Efdb+EBEQ0700DE*(1-Efcb*Efdb))/((T_700-EBEQ0700DE)*Scte*Efcell*Efcb*Efdb*Efte)</f>
        <v>3.0141779088813374</v>
      </c>
      <c r="J19" s="409">
        <f>+H19*(Mdb+1)</f>
        <v>37.234286811413099</v>
      </c>
      <c r="K19" s="376">
        <f>+I19*(1+Mdps)</f>
        <v>3.0141779088813374</v>
      </c>
    </row>
    <row r="20" spans="2:12" ht="15.75" thickBot="1">
      <c r="B20" s="119"/>
      <c r="C20" s="120" t="s">
        <v>19</v>
      </c>
      <c r="D20" s="418">
        <f>Pmax*EBEQ01500ME/(Vmin*Sh*Efdb*Dod)</f>
        <v>36.155042369572008</v>
      </c>
      <c r="E20" s="418">
        <f>Pmax*(T_1500*Efcb*Efdb+EBEQ01500DE*(1-Efcb*Efdb))/((T_1500-EBEQ01500DE)*Scte*Efcell*Efcb*Efdb*Efte*EBEQ01500BE)</f>
        <v>2.9815189646183464</v>
      </c>
      <c r="F20" s="418">
        <f>+D20*(Mdb+1)</f>
        <v>36.155042369572008</v>
      </c>
      <c r="G20" s="418">
        <f>+E20*(1+Mdps)</f>
        <v>2.9815189646183464</v>
      </c>
      <c r="H20" s="418">
        <f>Pmax*EBEQ01500ME/(Vmin*Sh*Efdb*Dod)</f>
        <v>36.155042369572008</v>
      </c>
      <c r="I20" s="418">
        <f>Pmax*(T_1500*Efcb*Efdb+EBEQ01500DE*(1-Efcb*Efdb))/((T_1500-EBEQ01500DE)*Scte*Efcell*Efcb*Efdb*Efte)</f>
        <v>2.7355168921041444</v>
      </c>
      <c r="J20" s="418">
        <f>+H20*(Mdb+1)</f>
        <v>36.155042369572008</v>
      </c>
      <c r="K20" s="377">
        <f>+I20*(1+Mdps)</f>
        <v>2.7355168921041444</v>
      </c>
    </row>
    <row r="21" spans="2:12" ht="15.75" thickBot="1"/>
    <row r="22" spans="2:12">
      <c r="B22" s="116" t="s">
        <v>328</v>
      </c>
      <c r="C22" s="123"/>
      <c r="D22" s="650" t="s">
        <v>327</v>
      </c>
      <c r="E22" s="650"/>
      <c r="F22" s="552"/>
      <c r="G22" s="552"/>
      <c r="H22" s="648" t="s">
        <v>332</v>
      </c>
      <c r="I22" s="648"/>
      <c r="J22" s="515"/>
      <c r="K22" s="342"/>
    </row>
    <row r="23" spans="2:12">
      <c r="B23" s="519"/>
      <c r="C23" s="115"/>
      <c r="D23" s="409"/>
      <c r="E23" s="409"/>
      <c r="F23" s="409"/>
      <c r="G23" s="409"/>
      <c r="H23" s="409"/>
      <c r="I23" s="409"/>
      <c r="J23" s="409"/>
      <c r="K23" s="376"/>
    </row>
    <row r="24" spans="2:12">
      <c r="B24" s="118"/>
      <c r="C24" s="115" t="s">
        <v>5</v>
      </c>
      <c r="D24" s="409">
        <f>Pmax*EBEQ12400ME/(Vmin*Sh*Efdb*Dod)</f>
        <v>37.405465414453815</v>
      </c>
      <c r="E24" s="409">
        <f>Pmax*(T_400*Efcb*Efdb+EBEQ12400DE*(1-Efcb*Efdb))/((T_400-EBEQ12400DE)*Scte*Efcell*Efcb*Efdb*Efte*EBEQ12400BE)</f>
        <v>3.7758352222895608</v>
      </c>
      <c r="F24" s="409">
        <f>+D24*(Mdb+1)</f>
        <v>37.405465414453815</v>
      </c>
      <c r="G24" s="409">
        <f>+E24*(1+Mdps)</f>
        <v>3.7758352222895608</v>
      </c>
      <c r="H24" s="409"/>
      <c r="I24" s="409"/>
      <c r="J24" s="409"/>
      <c r="K24" s="376"/>
    </row>
    <row r="25" spans="2:12">
      <c r="B25" s="118"/>
      <c r="C25" s="115" t="s">
        <v>33</v>
      </c>
      <c r="D25" s="409">
        <f>Pmax*EBEQ12700ME/(Vmin*Sh*Efdb*Dod)</f>
        <v>36.584635986150161</v>
      </c>
      <c r="E25" s="409">
        <f>Pmax*(T_700*Efcb*Efdb+EBEQ12700DE*(1-Efcb*Efdb))/((T_700-EBEQ12700DE)*Scte*Efcell*Efcb*Efdb*Efte*EBEQ12700BE)</f>
        <v>3.5709237060516621</v>
      </c>
      <c r="F25" s="409">
        <f>+D25*(Mdb+1)</f>
        <v>36.584635986150161</v>
      </c>
      <c r="G25" s="409">
        <f>+E25*(1+Mdps)</f>
        <v>3.5709237060516621</v>
      </c>
      <c r="H25" s="409">
        <f>Pmax*EBEQ12700ME/(Vmin*Sh*Efdb*Dod)</f>
        <v>36.584635986150161</v>
      </c>
      <c r="I25" s="409">
        <f>Pmax*(T_700*Efcb*Efdb+EBEQ12700DE*(1-Efcb*Efdb))/((T_700-EBEQ12700DE)*Scte*Efcell*Efcb*Efdb*Efte)</f>
        <v>2.9158409207738099</v>
      </c>
      <c r="J25" s="409">
        <f>+H25*(Mdb+1)</f>
        <v>36.584635986150161</v>
      </c>
      <c r="K25" s="376">
        <f>+I25*(1+Mdps)</f>
        <v>2.9158409207738099</v>
      </c>
    </row>
    <row r="26" spans="2:12" ht="15.75" thickBot="1">
      <c r="B26" s="119"/>
      <c r="C26" s="120" t="s">
        <v>19</v>
      </c>
      <c r="D26" s="418">
        <f>Pmax*EBEQ121500ME/(Vmin*Sh*Efdb*Dod)</f>
        <v>36.157939901593252</v>
      </c>
      <c r="E26" s="418">
        <f>Pmax*(T_1500*Efcb*Efdb+EBEQ121500DE*(1-Efcb*Efdb))/((T_1500-EBEQ121500DE)*Scte*Efcell*Efcb*Efdb*Efte*EBEQ121500BE)</f>
        <v>3.1900520520405706</v>
      </c>
      <c r="F26" s="418">
        <f>+D26*(Mdb+1)</f>
        <v>36.157939901593252</v>
      </c>
      <c r="G26" s="418">
        <f>+E26*(1+Mdps)</f>
        <v>3.1900520520405706</v>
      </c>
      <c r="H26" s="418">
        <f>Pmax*EBEQ121500ME/(Vmin*Sh*Efdb*Dod)</f>
        <v>36.157939901593252</v>
      </c>
      <c r="I26" s="418">
        <f>Pmax*(T_1500*Efcb*Efdb+EBEQ121500DE*(1-Efcb*Efdb))/((T_1500-EBEQ121500DE)*Scte*Efcell*Efcb*Efdb*Efte)</f>
        <v>2.6073764803464878</v>
      </c>
      <c r="J26" s="418">
        <f>+H26*(Mdb+1)</f>
        <v>36.157939901593252</v>
      </c>
      <c r="K26" s="377">
        <f>+I26*(1+Mdps)</f>
        <v>2.6073764803464878</v>
      </c>
    </row>
    <row r="27" spans="2:12" ht="15.75" thickBot="1">
      <c r="D27" s="15"/>
      <c r="E27" s="15"/>
      <c r="F27" s="15"/>
      <c r="G27" s="15"/>
      <c r="H27" s="15"/>
      <c r="I27" s="15"/>
      <c r="J27" s="15"/>
      <c r="K27" s="15"/>
    </row>
    <row r="28" spans="2:12">
      <c r="B28" s="116" t="s">
        <v>326</v>
      </c>
      <c r="C28" s="123"/>
      <c r="D28" s="650" t="s">
        <v>327</v>
      </c>
      <c r="E28" s="650"/>
      <c r="F28" s="552"/>
      <c r="G28" s="552"/>
      <c r="H28" s="648" t="s">
        <v>332</v>
      </c>
      <c r="I28" s="648"/>
      <c r="J28" s="515"/>
      <c r="K28" s="375"/>
    </row>
    <row r="29" spans="2:12">
      <c r="B29" s="519"/>
      <c r="C29" s="115"/>
      <c r="D29" s="115"/>
      <c r="E29" s="115"/>
      <c r="F29" s="115"/>
      <c r="G29" s="115"/>
      <c r="H29" s="115"/>
      <c r="I29" s="115"/>
      <c r="J29" s="115"/>
      <c r="K29" s="343"/>
    </row>
    <row r="30" spans="2:12">
      <c r="B30" s="118"/>
      <c r="C30" s="115" t="s">
        <v>5</v>
      </c>
      <c r="D30" s="409">
        <f>Pmax*EBEQ25400ME/(Vmin*Sh*Efdb*Dod)</f>
        <v>45.108606034572531</v>
      </c>
      <c r="E30" s="409">
        <f>Pmax*(T_400*Efcb*Efdb+EBEQ25400DE*(1-Efcb*Efdb))/((T_400-EBEQ25400DE)*Scte*Efcell*Efcb*Efdb*Efte*EBEQ25400BE)</f>
        <v>4.4312960377584591</v>
      </c>
      <c r="F30" s="409">
        <f>+D30*(Mdb+1)</f>
        <v>45.108606034572531</v>
      </c>
      <c r="G30" s="409">
        <f>+E30*(1+Mdps)</f>
        <v>4.4312960377584591</v>
      </c>
      <c r="H30" s="409"/>
      <c r="I30" s="409"/>
      <c r="J30" s="409"/>
      <c r="K30" s="376"/>
    </row>
    <row r="31" spans="2:12">
      <c r="B31" s="118"/>
      <c r="C31" s="115" t="s">
        <v>33</v>
      </c>
      <c r="D31" s="409">
        <f>Pmax*EBEQ25700ME/(Vmin*Sh*Efdb*Dod)</f>
        <v>36.602090167135273</v>
      </c>
      <c r="E31" s="409">
        <f>Pmax*(T_700*Efcb*Efdb+EBEQ25700DE*(1-Efcb*Efdb))/((T_700-EBEQ25700DE)*Scte*Efcell*Efcb*Efdb*Efte*EBEQ25700BE)</f>
        <v>4.004024634918661</v>
      </c>
      <c r="F31" s="409">
        <f>+D31*(Mdb+1)</f>
        <v>36.602090167135273</v>
      </c>
      <c r="G31" s="409">
        <f>+E31*(1+Mdps)</f>
        <v>4.004024634918661</v>
      </c>
      <c r="H31" s="409">
        <f>Pmax*EBEQ25700ME/(Vmin*Sh*Efdb*Dod)</f>
        <v>36.602090167135273</v>
      </c>
      <c r="I31" s="409">
        <f>Pmax*(T_700*Efcb*Efdb+EBEQ25700DE*(1-Efcb*Efdb))/((T_700-EBEQ25700DE)*Scte*Efcell*Efcb*Efdb*Efte)</f>
        <v>2.7507090886462899</v>
      </c>
      <c r="J31" s="409">
        <f>+H31*(Mdb+1)</f>
        <v>36.602090167135273</v>
      </c>
      <c r="K31" s="376">
        <f>+I31*(1+Mdps)</f>
        <v>2.7507090886462899</v>
      </c>
    </row>
    <row r="32" spans="2:12" ht="15.75" thickBot="1">
      <c r="B32" s="119"/>
      <c r="C32" s="120" t="s">
        <v>19</v>
      </c>
      <c r="D32" s="418">
        <f>Pmax*EBEQ251500ME/(Vmin*Sh*Efdb*Dod)</f>
        <v>36.174376496928048</v>
      </c>
      <c r="E32" s="418">
        <f>Pmax*(T_1500*Efcb*Efdb+EBEQ251500DE*(1-Efcb*Efdb))/((T_1500-EBEQ251500DE)*Scte*Efcell*Efcb*Efdb*Efte*EBEQ251500BE)</f>
        <v>3.4358011374676036</v>
      </c>
      <c r="F32" s="418">
        <f>+D32*(Mdb+1)</f>
        <v>36.174376496928048</v>
      </c>
      <c r="G32" s="418">
        <f>+E32*(1+Mdps)</f>
        <v>3.4358011374676036</v>
      </c>
      <c r="H32" s="418">
        <f>Pmax*EBEQ251500ME/(Vmin*Sh*Efdb*Dod)</f>
        <v>36.174376496928048</v>
      </c>
      <c r="I32" s="418">
        <f>Pmax*(T_1500*Efcb*Efdb+EBEQ251500DE*(1-Efcb*Efdb))/((T_1500-EBEQ251500DE)*Scte*Efcell*Efcb*Efdb*Efte)</f>
        <v>2.6417410132381001</v>
      </c>
      <c r="J32" s="418">
        <f>+H32*(Mdb+1)</f>
        <v>36.174376496928048</v>
      </c>
      <c r="K32" s="377">
        <f>+I32*(1+Mdps)</f>
        <v>2.6417410132381001</v>
      </c>
    </row>
    <row r="33" spans="2:24" ht="15.75" thickBot="1">
      <c r="D33" s="15"/>
      <c r="E33" s="15"/>
      <c r="F33" s="15"/>
      <c r="G33" s="15"/>
      <c r="H33" s="15"/>
      <c r="I33" s="15"/>
      <c r="J33" s="15"/>
      <c r="K33" s="15"/>
    </row>
    <row r="34" spans="2:24" ht="15.75" thickBot="1">
      <c r="B34" s="583" t="s">
        <v>857</v>
      </c>
      <c r="C34" s="584"/>
      <c r="D34" s="584"/>
      <c r="E34" s="584"/>
      <c r="F34" s="584"/>
      <c r="G34" s="584"/>
      <c r="H34" s="584"/>
      <c r="I34" s="585"/>
      <c r="J34" s="108"/>
      <c r="K34" s="641"/>
      <c r="L34" s="642"/>
      <c r="M34" s="643"/>
      <c r="N34" s="655" t="s">
        <v>656</v>
      </c>
      <c r="O34" s="656"/>
      <c r="P34" s="656"/>
      <c r="Q34" s="656"/>
      <c r="R34" s="656"/>
      <c r="S34" s="641" t="s">
        <v>657</v>
      </c>
      <c r="T34" s="642"/>
      <c r="U34" s="642"/>
      <c r="V34" s="642"/>
      <c r="W34" s="642"/>
      <c r="X34" s="643"/>
    </row>
    <row r="35" spans="2:24" ht="15.75" thickBot="1">
      <c r="B35" s="101"/>
      <c r="C35" s="57"/>
      <c r="D35" s="57"/>
      <c r="E35" s="651" t="s">
        <v>813</v>
      </c>
      <c r="F35" s="652"/>
      <c r="G35" s="653"/>
      <c r="H35" s="644" t="str">
        <f>NomPlat</f>
        <v>PMM</v>
      </c>
      <c r="I35" s="645"/>
      <c r="J35" s="108"/>
      <c r="K35" s="170"/>
      <c r="L35" s="158"/>
      <c r="M35" s="158"/>
      <c r="N35" s="658" t="s">
        <v>658</v>
      </c>
      <c r="O35" s="659"/>
      <c r="P35" s="112" t="s">
        <v>784</v>
      </c>
      <c r="Q35" s="658" t="s">
        <v>659</v>
      </c>
      <c r="R35" s="659"/>
      <c r="S35" s="658" t="s">
        <v>660</v>
      </c>
      <c r="T35" s="659"/>
      <c r="U35" s="658" t="s">
        <v>661</v>
      </c>
      <c r="V35" s="659"/>
      <c r="W35" s="658" t="s">
        <v>659</v>
      </c>
      <c r="X35" s="659"/>
    </row>
    <row r="36" spans="2:24" ht="15.75" thickBot="1">
      <c r="B36" s="317" t="s">
        <v>816</v>
      </c>
      <c r="C36" s="318" t="s">
        <v>527</v>
      </c>
      <c r="D36" s="318" t="s">
        <v>798</v>
      </c>
      <c r="E36" s="238">
        <v>400</v>
      </c>
      <c r="F36" s="232">
        <v>700</v>
      </c>
      <c r="G36" s="239">
        <v>1500</v>
      </c>
      <c r="H36" s="315">
        <f>Orbbaix</f>
        <v>600</v>
      </c>
      <c r="I36" s="110">
        <f>Orbalta</f>
        <v>1200</v>
      </c>
      <c r="J36" s="108"/>
      <c r="K36" s="357" t="s">
        <v>816</v>
      </c>
      <c r="L36" s="358" t="s">
        <v>527</v>
      </c>
      <c r="M36" s="359" t="s">
        <v>798</v>
      </c>
      <c r="N36" s="355">
        <f>Orbbaix</f>
        <v>600</v>
      </c>
      <c r="O36" s="356">
        <f>Orbalta</f>
        <v>1200</v>
      </c>
      <c r="P36" s="113"/>
      <c r="Q36" s="355">
        <f>Orbbaix</f>
        <v>600</v>
      </c>
      <c r="R36" s="356">
        <f>Orbalta</f>
        <v>1200</v>
      </c>
      <c r="S36" s="355">
        <f>Orbbaix</f>
        <v>600</v>
      </c>
      <c r="T36" s="356">
        <f>Orbalta</f>
        <v>1200</v>
      </c>
      <c r="U36" s="355">
        <f>Orbbaix</f>
        <v>600</v>
      </c>
      <c r="V36" s="356">
        <f>Orbalta</f>
        <v>1200</v>
      </c>
      <c r="W36" s="355">
        <f>Orbbaix</f>
        <v>600</v>
      </c>
      <c r="X36" s="356">
        <f>Orbalta</f>
        <v>1200</v>
      </c>
    </row>
    <row r="37" spans="2:24" ht="18" thickBot="1">
      <c r="B37" s="169"/>
      <c r="C37" s="158"/>
      <c r="D37" s="158"/>
      <c r="E37" s="320" t="s">
        <v>533</v>
      </c>
      <c r="F37" s="321" t="s">
        <v>533</v>
      </c>
      <c r="G37" s="322" t="s">
        <v>533</v>
      </c>
      <c r="H37" s="319" t="s">
        <v>533</v>
      </c>
      <c r="I37" s="111" t="s">
        <v>533</v>
      </c>
      <c r="J37" s="109"/>
      <c r="K37" s="360"/>
      <c r="L37" s="59"/>
      <c r="M37" s="361"/>
      <c r="N37" s="245" t="s">
        <v>541</v>
      </c>
      <c r="O37" s="246" t="s">
        <v>541</v>
      </c>
      <c r="P37" s="114" t="s">
        <v>65</v>
      </c>
      <c r="Q37" s="245" t="s">
        <v>65</v>
      </c>
      <c r="R37" s="246" t="s">
        <v>65</v>
      </c>
      <c r="S37" s="245" t="s">
        <v>541</v>
      </c>
      <c r="T37" s="246" t="s">
        <v>541</v>
      </c>
      <c r="U37" s="245" t="s">
        <v>65</v>
      </c>
      <c r="V37" s="246" t="s">
        <v>65</v>
      </c>
      <c r="W37" s="245" t="s">
        <v>65</v>
      </c>
      <c r="X37" s="246" t="s">
        <v>65</v>
      </c>
    </row>
    <row r="38" spans="2:24">
      <c r="B38" s="333" t="s">
        <v>463</v>
      </c>
      <c r="C38" s="334">
        <v>0</v>
      </c>
      <c r="D38" s="335" t="s">
        <v>464</v>
      </c>
      <c r="E38" s="331">
        <f>OcEQU0400*ApNadir*G18</f>
        <v>3.4851504200937882</v>
      </c>
      <c r="F38" s="324">
        <f>OcEQU0700*ApNadir*G19</f>
        <v>3.2852396649434539</v>
      </c>
      <c r="G38" s="325">
        <f>OcEQU01500*ApNadir*G20</f>
        <v>2.9815189646183464</v>
      </c>
      <c r="H38" s="330">
        <f>(H36-(E36-E38/(((E38-F38)/(E36-F36)+(F38-G38)/(F36-G36)+(E38-G38)/(E36-G36))/3)+F36-F38/(((E38-F38)/(E36-F36)+(F38-G38)/(F36-G36)+(E38-G38)/(E36-G36))/3)+G36-G38/(((E38-F38)/(E36-F36)+(F38-G38)/(F36-G36)+(E38-G38)/(E36-G36))/3))/3)*(((E38-F38)/(E36-F36)+(F38-G38)/(F36-G36)+(E38-G38)/(E36-G36))/3)</f>
        <v>3.3843134020581545</v>
      </c>
      <c r="I38" s="139">
        <f>(I36-(E36-E38/(((E38-F38)/(E36-F36)+(F38-G38)/(F36-G36)+(E38-G38)/(E36-G36))/3)+F36-F38/(((E38-F38)/(E36-F36)+(F38-G38)/(F36-G36)+(E38-G38)/(E36-G36))/3)+G36-G38/(((E38-F38)/(E36-F36)+(F38-G38)/(F36-G36)+(E38-G38)/(E36-G36))/3))/3)*(((E38-F38)/(E36-F36)+(F38-G38)/(F36-G36)+(E38-G38)/(E36-G36))/3)</f>
        <v>3.083540034668999</v>
      </c>
      <c r="J38" s="47"/>
      <c r="K38" s="362" t="s">
        <v>463</v>
      </c>
      <c r="L38" s="363">
        <v>0</v>
      </c>
      <c r="M38" s="364" t="s">
        <v>464</v>
      </c>
      <c r="N38" s="345">
        <f>IF(AsaRot1=1,"NA",EVEN(CEILING($H38/AuPanel,1)))</f>
        <v>4</v>
      </c>
      <c r="O38" s="346">
        <f>IF(AsaRot1=1,"NA",EVEN(CEILING($I38/AuPanel,1)))</f>
        <v>4</v>
      </c>
      <c r="P38" s="350">
        <f>IF(AsaRot1=1,"NA",(Capac_Esp!$H$40+Capac_Esp!$I$40)*2)</f>
        <v>9.5960000000000001</v>
      </c>
      <c r="Q38" s="330">
        <f>IF(AsaRot1=1,"NA",N38*AuPanel*Capac_Esp!$G$40+P38)</f>
        <v>24.694666666666667</v>
      </c>
      <c r="R38" s="139">
        <f>IF(AsaRot1=1,"NA",O38*AuPanel*Capac_Esp!$G$40+P38)</f>
        <v>24.694666666666667</v>
      </c>
      <c r="S38" s="351" t="str">
        <f t="shared" ref="S38:S45" si="0">IF(AsaRot2=1,"NA",CEILING($H38/AuPanel,1))</f>
        <v>NA</v>
      </c>
      <c r="T38" s="352" t="str">
        <f t="shared" ref="T38:T45" si="1">IF(AsaRot2=1,"NA",CEILING($I38/AuPanel,1))</f>
        <v>NA</v>
      </c>
      <c r="U38" s="351" t="str">
        <f>IF(AsaRot2=1,"NA",(Capac_Esp!$H$40+Capac_Esp!$I$40)+IF($S38&gt;ConfSAG/2,Capac_Esp!$H$40+Capac_Esp!$I$40,0))</f>
        <v>NA</v>
      </c>
      <c r="V38" s="352" t="str">
        <f>IF(AsaRot2=1,"NA",(Capac_Esp!$H$40+Capac_Esp!$I$40)+IF($T38&gt;ConfSAG/2,Capac_Esp!$H$40+Capac_Esp!$I$40,0))</f>
        <v>NA</v>
      </c>
      <c r="W38" s="351" t="str">
        <f>IF(AsaRot2=1,"NA",S38*AuPanel*Capac_Esp!$G$40+U38)</f>
        <v>NA</v>
      </c>
      <c r="X38" s="352" t="str">
        <f>IF(AsaRot2=1,"NA",T38*AuPanel*Capac_Esp!$G$40+V38)</f>
        <v>NA</v>
      </c>
    </row>
    <row r="39" spans="2:24">
      <c r="B39" s="336" t="s">
        <v>799</v>
      </c>
      <c r="C39" s="313">
        <v>12</v>
      </c>
      <c r="D39" s="337" t="s">
        <v>464</v>
      </c>
      <c r="E39" s="316">
        <f>OcEQU12400*ApNadir*G24</f>
        <v>3.7758352222895608</v>
      </c>
      <c r="F39" s="314">
        <f>OcEQU12700*ApNadir*G25</f>
        <v>3.5709237060516621</v>
      </c>
      <c r="G39" s="326">
        <f>OcEQU121500*ApNadir*G26</f>
        <v>3.1900520520405706</v>
      </c>
      <c r="H39" s="228">
        <f>(H$36-(E$36-E39/(((E39-F39)/(E$36-F$36)+(F39-G39)/(F$36-G$36)+(E39-G39)/(E$36-G$36))/3)+F$36-F39/(((E39-F39)/(E$36-F$36)+(F39-G39)/(F$36-G$36)+(E39-G39)/(E$36-G$36))/3)+G$36-G39/(((E39-F39)/(E$36-F$36)+(F39-G39)/(F$36-G$36)+(E39-G39)/(E$36-G$36))/3))/3)*(((E39-F39)/(E$36-F$36)+(F39-G39)/(F$36-G$36)+(E39-G39)/(E$36-G$36))/3)</f>
        <v>3.6626399365490721</v>
      </c>
      <c r="I39" s="117">
        <f>(I$36-(E$36-E39/(((E39-F39)/(E$36-F$36)+(F39-G39)/(F$36-G$36)+(E39-G39)/(E$36-G$36))/3)+F$36-F39/(((E39-F39)/(E$36-F$36)+(F39-G39)/(F$36-G$36)+(E39-G39)/(E$36-G$36))/3)+G$36-G39/(((E39-F39)/(E$36-F$36)+(F39-G39)/(F$36-G$36)+(E39-G39)/(E$36-G$36))/3))/3)*(((E39-F39)/(E$36-F$36)+(F39-G39)/(F$36-G$36)+(E39-G39)/(E$36-G$36))/3)</f>
        <v>3.324308314600005</v>
      </c>
      <c r="J39" s="47"/>
      <c r="K39" s="365" t="s">
        <v>799</v>
      </c>
      <c r="L39" s="366">
        <v>12</v>
      </c>
      <c r="M39" s="367" t="s">
        <v>464</v>
      </c>
      <c r="N39" s="347">
        <f t="shared" ref="N39:O45" si="2">IF(AsaRot1=1,"NA",EVEN(CEILING(H39/AuPanel,1)))</f>
        <v>4</v>
      </c>
      <c r="O39" s="203">
        <f t="shared" si="2"/>
        <v>4</v>
      </c>
      <c r="P39" s="350">
        <f>IF(AsaRot1=1,"NA",(Capac_Esp!$H$40+Capac_Esp!$I$40)*2)</f>
        <v>9.5960000000000001</v>
      </c>
      <c r="Q39" s="228">
        <f>IF(AsaRot1=1,"NA",N39*AuPanel*Capac_Esp!$G$40+P39)</f>
        <v>24.694666666666667</v>
      </c>
      <c r="R39" s="117">
        <f>IF(AsaRot1=1,"NA",O39*AuPanel*Capac_Esp!$G$40+P39)</f>
        <v>24.694666666666667</v>
      </c>
      <c r="S39" s="229" t="str">
        <f t="shared" si="0"/>
        <v>NA</v>
      </c>
      <c r="T39" s="230" t="str">
        <f t="shared" si="1"/>
        <v>NA</v>
      </c>
      <c r="U39" s="229" t="str">
        <f>IF(AsaRot2=1,"NA",(Capac_Esp!$H$40+Capac_Esp!$I$40)+IF($S39&gt;ConfSAG/2,Capac_Esp!$H$40+Capac_Esp!$I$40,0))</f>
        <v>NA</v>
      </c>
      <c r="V39" s="230" t="str">
        <f>IF(AsaRot2=1,"NA",(Capac_Esp!$H$40+Capac_Esp!$I$40)+IF($T39&gt;ConfSAG/2,Capac_Esp!$H$40+Capac_Esp!$I$40,0))</f>
        <v>NA</v>
      </c>
      <c r="W39" s="229" t="str">
        <f>IF(AsaRot2=1,"NA",S39*AuPanel*Capac_Esp!$G$40+U39)</f>
        <v>NA</v>
      </c>
      <c r="X39" s="230" t="str">
        <f>IF(AsaRot2=1,"NA",T39*AuPanel*Capac_Esp!$G$40+V39)</f>
        <v>NA</v>
      </c>
    </row>
    <row r="40" spans="2:24">
      <c r="B40" s="336" t="s">
        <v>799</v>
      </c>
      <c r="C40" s="313">
        <v>25</v>
      </c>
      <c r="D40" s="337" t="s">
        <v>464</v>
      </c>
      <c r="E40" s="316">
        <f>OcEQU25400*ApNadir*G30</f>
        <v>4.4312960377584591</v>
      </c>
      <c r="F40" s="314">
        <f>OcEQU25700*ApNadir*G31</f>
        <v>4.004024634918661</v>
      </c>
      <c r="G40" s="326">
        <f>OcEQU251500*ApNadir*G32</f>
        <v>3.4358011374676036</v>
      </c>
      <c r="H40" s="228">
        <f>(H$36-(E$36-E40/(((E40-F40)/(E$36-F$36)+(F40-G40)/(F$36-G$36)+(E40-G40)/(E$36-G$36))/3)+F$36-F40/(((E40-F40)/(E$36-F$36)+(F40-G40)/(F$36-G$36)+(E40-G40)/(E$36-G$36))/3)+G$36-G40/(((E40-F40)/(E$36-F$36)+(F40-G40)/(F$36-G$36)+(E40-G40)/(E$36-G$36))/3))/3)*(((E40-F40)/(E$36-F$36)+(F40-G40)/(F$36-G$36)+(E40-G40)/(E$36-G$36))/3)</f>
        <v>4.2272195140642932</v>
      </c>
      <c r="I40" s="117">
        <f>(I$36-(E$36-E40/(((E40-F40)/(E$36-F$36)+(F40-G40)/(F$36-G$36)+(E40-G40)/(E$36-G$36))/3)+F$36-F40/(((E40-F40)/(E$36-F$36)+(F40-G40)/(F$36-G$36)+(E40-G40)/(E$36-G$36))/3)+G$36-G40/(((E40-F40)/(E$36-F$36)+(F40-G40)/(F$36-G$36)+(E40-G40)/(E$36-G$36))/3))/3)*(((E40-F40)/(E$36-F$36)+(F40-G40)/(F$36-G$36)+(E40-G40)/(E$36-G$36))/3)</f>
        <v>3.6193169650281747</v>
      </c>
      <c r="J40" s="47"/>
      <c r="K40" s="365" t="s">
        <v>799</v>
      </c>
      <c r="L40" s="366">
        <v>25</v>
      </c>
      <c r="M40" s="367" t="s">
        <v>464</v>
      </c>
      <c r="N40" s="347">
        <f t="shared" si="2"/>
        <v>6</v>
      </c>
      <c r="O40" s="203">
        <f t="shared" si="2"/>
        <v>4</v>
      </c>
      <c r="P40" s="350">
        <f>IF(AsaRot1=1,"NA",(Capac_Esp!$H$40+Capac_Esp!$I$40)*2)</f>
        <v>9.5960000000000001</v>
      </c>
      <c r="Q40" s="228">
        <f>IF(AsaRot1=1,"NA",N40*AuPanel*Capac_Esp!$G$40+P40)</f>
        <v>32.244</v>
      </c>
      <c r="R40" s="117">
        <f>IF(AsaRot1=1,"NA",O40*AuPanel*Capac_Esp!$G$40+P40)</f>
        <v>24.694666666666667</v>
      </c>
      <c r="S40" s="229" t="str">
        <f t="shared" si="0"/>
        <v>NA</v>
      </c>
      <c r="T40" s="230" t="str">
        <f t="shared" si="1"/>
        <v>NA</v>
      </c>
      <c r="U40" s="229" t="str">
        <f>IF(AsaRot2=1,"NA",(Capac_Esp!$H$40+Capac_Esp!$I$40)+IF($S40&gt;ConfSAG/2,Capac_Esp!$H$40+Capac_Esp!$I$40,0))</f>
        <v>NA</v>
      </c>
      <c r="V40" s="230" t="str">
        <f>IF(AsaRot2=1,"NA",(Capac_Esp!$H$40+Capac_Esp!$I$40)+IF($T40&gt;ConfSAG/2,Capac_Esp!$H$40+Capac_Esp!$I$40,0))</f>
        <v>NA</v>
      </c>
      <c r="W40" s="229" t="str">
        <f>IF(AsaRot2=1,"NA",S40*AuPanel*Capac_Esp!$G$40+U40)</f>
        <v>NA</v>
      </c>
      <c r="X40" s="230" t="str">
        <f>IF(AsaRot2=1,"NA",T40*AuPanel*Capac_Esp!$G$40+V40)</f>
        <v>NA</v>
      </c>
    </row>
    <row r="41" spans="2:24">
      <c r="B41" s="336" t="s">
        <v>463</v>
      </c>
      <c r="C41" s="313">
        <v>0</v>
      </c>
      <c r="D41" s="337" t="s">
        <v>332</v>
      </c>
      <c r="E41" s="316"/>
      <c r="F41" s="314">
        <f>OcEQU0700*ApSol*K19</f>
        <v>3.0141779088813374</v>
      </c>
      <c r="G41" s="326">
        <f>OcEQU01500*ApSol*K20</f>
        <v>2.7355168921041444</v>
      </c>
      <c r="H41" s="228">
        <f>(H$36-(F$36-F41/((F41-G41)/(F$36-G$36))+G$36-G41/((F41-G41)/(F$36-G$36)))/2)*((F41-G41)/(F$36-G$36))</f>
        <v>3.0490105359784865</v>
      </c>
      <c r="I41" s="117">
        <f>(I$36-(F$36-F41/((F41-G41)/(F$36-G$36))+G$36-G41/((F41-G41)/(F$36-G$36)))/2)*((F41-G41)/(F$36-G$36))</f>
        <v>2.8400147733955916</v>
      </c>
      <c r="J41" s="47"/>
      <c r="K41" s="365" t="s">
        <v>463</v>
      </c>
      <c r="L41" s="366">
        <v>0</v>
      </c>
      <c r="M41" s="367" t="s">
        <v>332</v>
      </c>
      <c r="N41" s="347">
        <f t="shared" si="2"/>
        <v>4</v>
      </c>
      <c r="O41" s="203">
        <f t="shared" si="2"/>
        <v>4</v>
      </c>
      <c r="P41" s="350">
        <f>IF(AsaRot1=1,"NA",(Capac_Esp!$H$40+Capac_Esp!I40*Sadaspre)*2)</f>
        <v>2.8559999999999999</v>
      </c>
      <c r="Q41" s="228">
        <f>IF(AsaRot1=1,"NA",N41*AuPanel*Capac_Esp!$G$40+P41)</f>
        <v>17.954666666666668</v>
      </c>
      <c r="R41" s="117">
        <f>IF(AsaRot1=1,"NA",O41*AuPanel*Capac_Esp!$G$40+P41)</f>
        <v>17.954666666666668</v>
      </c>
      <c r="S41" s="229" t="str">
        <f t="shared" si="0"/>
        <v>NA</v>
      </c>
      <c r="T41" s="230" t="str">
        <f t="shared" si="1"/>
        <v>NA</v>
      </c>
      <c r="U41" s="229" t="str">
        <f>IF(AsaRot2=1,"NA",(Capac_Esp!$H$40)+IF($S41&gt;ConfSAG/2,Capac_Esp!$H$40,0))</f>
        <v>NA</v>
      </c>
      <c r="V41" s="230" t="str">
        <f>IF(AsaRot2=1,"NA",(Capac_Esp!$H$40)+IF($T41&gt;ConfSAG/2,Capac_Esp!$H$40,0))</f>
        <v>NA</v>
      </c>
      <c r="W41" s="229" t="str">
        <f>IF(AsaRot2=1,"NA",S41*AuPanel*Capac_Esp!$G$40+U41)</f>
        <v>NA</v>
      </c>
      <c r="X41" s="230" t="str">
        <f>IF(AsaRot2=1,"NA",T41*AuPanel*Capac_Esp!$G$40+V41)</f>
        <v>NA</v>
      </c>
    </row>
    <row r="42" spans="2:24">
      <c r="B42" s="336" t="s">
        <v>799</v>
      </c>
      <c r="C42" s="313">
        <v>12</v>
      </c>
      <c r="D42" s="337" t="s">
        <v>332</v>
      </c>
      <c r="E42" s="316"/>
      <c r="F42" s="314">
        <f>OcEQU12700*ApSol*K25</f>
        <v>2.9158409207738099</v>
      </c>
      <c r="G42" s="326">
        <f>OcEQU121500*ApSol*K26</f>
        <v>2.6073764803464878</v>
      </c>
      <c r="H42" s="228">
        <f>(H$36-(F$36-F42/((F42-G42)/(F$36-G$36))+G$36-G42/((F42-G42)/(F$36-G$36)))/2)*((F42-G42)/(F$36-G$36))</f>
        <v>2.9543989758272247</v>
      </c>
      <c r="I42" s="117">
        <f>(I$36-(F$36-F42/((F42-G42)/(F$36-G$36))+G$36-G42/((F42-G42)/(F$36-G$36)))/2)*((F42-G42)/(F$36-G$36))</f>
        <v>2.7230506455067331</v>
      </c>
      <c r="J42" s="47"/>
      <c r="K42" s="365" t="s">
        <v>799</v>
      </c>
      <c r="L42" s="366">
        <v>12</v>
      </c>
      <c r="M42" s="367" t="s">
        <v>332</v>
      </c>
      <c r="N42" s="347">
        <f t="shared" si="2"/>
        <v>4</v>
      </c>
      <c r="O42" s="203">
        <f t="shared" si="2"/>
        <v>4</v>
      </c>
      <c r="P42" s="350">
        <f>IF(AsaRot1=1,"NA",(Capac_Esp!$H$40+Capac_Esp!I40*Sadaspre)*2)</f>
        <v>2.8559999999999999</v>
      </c>
      <c r="Q42" s="228">
        <f>IF(AsaRot1=1,"NA",N42*AuPanel*Capac_Esp!$G$40+P42)</f>
        <v>17.954666666666668</v>
      </c>
      <c r="R42" s="117">
        <f>IF(AsaRot1=1,"NA",O42*AuPanel*Capac_Esp!$G$40+P42)</f>
        <v>17.954666666666668</v>
      </c>
      <c r="S42" s="229" t="str">
        <f t="shared" si="0"/>
        <v>NA</v>
      </c>
      <c r="T42" s="230" t="str">
        <f t="shared" si="1"/>
        <v>NA</v>
      </c>
      <c r="U42" s="229" t="str">
        <f>IF(AsaRot2=1,"NA",(Capac_Esp!$H$40)+IF($S42&gt;ConfSAG/2,Capac_Esp!$H$40,0))</f>
        <v>NA</v>
      </c>
      <c r="V42" s="230" t="str">
        <f>IF(AsaRot2=1,"NA",(Capac_Esp!$H$40)+IF($T42&gt;ConfSAG/2,Capac_Esp!$H$40,0))</f>
        <v>NA</v>
      </c>
      <c r="W42" s="229" t="str">
        <f>IF(AsaRot2=1,"NA",S42*AuPanel*Capac_Esp!$G$40+U42)</f>
        <v>NA</v>
      </c>
      <c r="X42" s="230" t="str">
        <f>IF(AsaRot2=1,"NA",T42*AuPanel*Capac_Esp!$G$40+V42)</f>
        <v>NA</v>
      </c>
    </row>
    <row r="43" spans="2:24">
      <c r="B43" s="336" t="s">
        <v>799</v>
      </c>
      <c r="C43" s="313">
        <v>25</v>
      </c>
      <c r="D43" s="337" t="s">
        <v>332</v>
      </c>
      <c r="E43" s="316"/>
      <c r="F43" s="314">
        <f>OcEQU25700*ApSol*K31</f>
        <v>2.7507090886462899</v>
      </c>
      <c r="G43" s="326">
        <f>OcEQU251500*ApSol*K32</f>
        <v>2.6417410132381001</v>
      </c>
      <c r="H43" s="228">
        <f>(H$36-(F$36-F43/((F43-G43)/(F$36-G$36))+G$36-G43/((F43-G43)/(F$36-G$36)))/2)*((F43-G43)/(F$36-G$36))</f>
        <v>2.7643300980723136</v>
      </c>
      <c r="I43" s="117">
        <f>(I$36-(F$36-F43/((F43-G43)/(F$36-G$36))+G$36-G43/((F43-G43)/(F$36-G$36)))/2)*((F43-G43)/(F$36-G$36))</f>
        <v>2.6826040415161709</v>
      </c>
      <c r="J43" s="47"/>
      <c r="K43" s="365" t="s">
        <v>799</v>
      </c>
      <c r="L43" s="366">
        <v>25</v>
      </c>
      <c r="M43" s="367" t="s">
        <v>332</v>
      </c>
      <c r="N43" s="347">
        <f t="shared" si="2"/>
        <v>4</v>
      </c>
      <c r="O43" s="203">
        <f t="shared" si="2"/>
        <v>4</v>
      </c>
      <c r="P43" s="350">
        <f>IF(AsaRot1=1,"NA",(Capac_Esp!$H$40+Capac_Esp!I40*Sadaspre)*2)</f>
        <v>2.8559999999999999</v>
      </c>
      <c r="Q43" s="228">
        <f>IF(AsaRot1=1,"NA",N43*AuPanel*Capac_Esp!$G$40+P43)</f>
        <v>17.954666666666668</v>
      </c>
      <c r="R43" s="117">
        <f>IF(AsaRot1=1,"NA",O43*AuPanel*Capac_Esp!$G$40+P43)</f>
        <v>17.954666666666668</v>
      </c>
      <c r="S43" s="229" t="str">
        <f t="shared" si="0"/>
        <v>NA</v>
      </c>
      <c r="T43" s="230" t="str">
        <f t="shared" si="1"/>
        <v>NA</v>
      </c>
      <c r="U43" s="229" t="str">
        <f>IF(AsaRot2=1,"NA",(Capac_Esp!$H$40)+IF($S43&gt;ConfSAG/2,Capac_Esp!$H$40,0))</f>
        <v>NA</v>
      </c>
      <c r="V43" s="230" t="str">
        <f>IF(AsaRot2=1,"NA",(Capac_Esp!$H$40)+IF($T43&gt;ConfSAG/2,Capac_Esp!$H$40,0))</f>
        <v>NA</v>
      </c>
      <c r="W43" s="229" t="str">
        <f>IF(AsaRot2=1,"NA",S43*AuPanel*Capac_Esp!$G$40+U43)</f>
        <v>NA</v>
      </c>
      <c r="X43" s="230" t="str">
        <f>IF(AsaRot2=1,"NA",T43*AuPanel*Capac_Esp!$G$40+V43)</f>
        <v>NA</v>
      </c>
    </row>
    <row r="44" spans="2:24">
      <c r="B44" s="336" t="s">
        <v>503</v>
      </c>
      <c r="C44" s="312"/>
      <c r="D44" s="337" t="s">
        <v>464</v>
      </c>
      <c r="E44" s="316">
        <f>OcSSO10H400*ApNadir*G5</f>
        <v>3.7681153157617993</v>
      </c>
      <c r="F44" s="314">
        <f>OcSSO10H700*ApNadir*G6</f>
        <v>3.4334031143628465</v>
      </c>
      <c r="G44" s="326">
        <f>OcSSO10H1500*ApNadir*G7</f>
        <v>3.1878602007588381</v>
      </c>
      <c r="H44" s="228">
        <f>(H$36-(E$36-E44/(((E44-F44)/(E$36-F$36)+(F44-G44)/(F$36-G$36)+(E44-G44)/(E$36-G$36))/3)+F$36-F44/(((E44-F44)/(E$36-F$36)+(F44-G44)/(F$36-G$36)+(E44-G44)/(E$36-G$36))/3)+G$36-G44/(((E44-F44)/(E$36-F$36)+(F44-G44)/(F$36-G$36)+(E44-G44)/(E$36-G$36))/3))/3)*(((E44-F44)/(E$36-F$36)+(F44-G44)/(F$36-G$36)+(E44-G44)/(E$36-G$36))/3)</f>
        <v>3.6364720440726463</v>
      </c>
      <c r="I44" s="117">
        <f>(I$36-(E$36-E44/(((E44-F44)/(E$36-F$36)+(F44-G44)/(F$36-G$36)+(E44-G44)/(E$36-G$36))/3)+F$36-F44/(((E44-F44)/(E$36-F$36)+(F44-G44)/(F$36-G$36)+(E44-G44)/(E$36-G$36))/3)+G$36-G44/(((E44-F44)/(E$36-F$36)+(F44-G44)/(F$36-G$36)+(E44-G44)/(E$36-G$36))/3))/3)*(((E44-F44)/(E$36-F$36)+(F44-G44)/(F$36-G$36)+(E44-G44)/(E$36-G$36))/3)</f>
        <v>3.2464439180718041</v>
      </c>
      <c r="J44" s="47"/>
      <c r="K44" s="365" t="s">
        <v>503</v>
      </c>
      <c r="L44" s="368"/>
      <c r="M44" s="367" t="s">
        <v>464</v>
      </c>
      <c r="N44" s="347">
        <f t="shared" si="2"/>
        <v>4</v>
      </c>
      <c r="O44" s="203">
        <f t="shared" si="2"/>
        <v>4</v>
      </c>
      <c r="P44" s="350">
        <f>IF(AsaRot1=1,"NA",(Capac_Esp!$H$40+Capac_Esp!$I$40)*2)</f>
        <v>9.5960000000000001</v>
      </c>
      <c r="Q44" s="228">
        <f>IF(AsaRot1=1,"NA",N44*AuPanel*Capac_Esp!$G$40+P44)</f>
        <v>24.694666666666667</v>
      </c>
      <c r="R44" s="117">
        <f>IF(AsaRot1=1,"NA",O44*AuPanel*Capac_Esp!$G$40+P44)</f>
        <v>24.694666666666667</v>
      </c>
      <c r="S44" s="229" t="str">
        <f t="shared" si="0"/>
        <v>NA</v>
      </c>
      <c r="T44" s="230" t="str">
        <f t="shared" si="1"/>
        <v>NA</v>
      </c>
      <c r="U44" s="229" t="str">
        <f>IF(AsaRot2=1,"NA",(Capac_Esp!$H$40+Capac_Esp!$I$40)+IF($S44&gt;ConfSAG/2,Capac_Esp!$H$40+Capac_Esp!$I$40,0))</f>
        <v>NA</v>
      </c>
      <c r="V44" s="230" t="str">
        <f>IF(AsaRot2=1,"NA",(Capac_Esp!$H$40+Capac_Esp!$I$40)+IF($T44&gt;ConfSAG/2,Capac_Esp!$H$40+Capac_Esp!$I$40,0))</f>
        <v>NA</v>
      </c>
      <c r="W44" s="229" t="str">
        <f>IF(AsaRot2=1,"NA",S44*AuPanel*Capac_Esp!$G$40+U44)</f>
        <v>NA</v>
      </c>
      <c r="X44" s="230" t="str">
        <f>IF(AsaRot2=1,"NA",T44*AuPanel*Capac_Esp!$G$40+V44)</f>
        <v>NA</v>
      </c>
    </row>
    <row r="45" spans="2:24" ht="15.75" thickBot="1">
      <c r="B45" s="338" t="s">
        <v>507</v>
      </c>
      <c r="C45" s="339"/>
      <c r="D45" s="340" t="s">
        <v>464</v>
      </c>
      <c r="E45" s="332">
        <f>OcSSO12H400*ApNadir*G10</f>
        <v>3.2584125087510318</v>
      </c>
      <c r="F45" s="328">
        <f>OcSSO12H700*ApNadir*G11</f>
        <v>3.08926386268634</v>
      </c>
      <c r="G45" s="329">
        <f>OcSSO12H1500*ApNadir*G12</f>
        <v>2.832854710579952</v>
      </c>
      <c r="H45" s="231">
        <f>(H$36-(E$36-E45/(((E45-F45)/(E$36-F$36)+(F45-G45)/(F$36-G$36)+(E45-G45)/(E$36-G$36))/3)+F$36-F45/(((E45-F45)/(E$36-F$36)+(F45-G45)/(F$36-G$36)+(E45-G45)/(E$36-G$36))/3)+G$36-G45/(((E45-F45)/(E$36-F$36)+(F45-G45)/(F$36-G$36)+(E45-G45)/(E$36-G$36))/3))/3)*(((E45-F45)/(E$36-F$36)+(F45-G45)/(F$36-G$36)+(E45-G45)/(E$36-G$36))/3)</f>
        <v>3.1731735594243258</v>
      </c>
      <c r="I45" s="121">
        <f>(I$36-(E$36-E45/(((E45-F45)/(E$36-F$36)+(F45-G45)/(F$36-G$36)+(E45-G45)/(E$36-G$36))/3)+F$36-F45/(((E45-F45)/(E$36-F$36)+(F45-G45)/(F$36-G$36)+(E45-G45)/(E$36-G$36))/3)+G$36-G45/(((E45-F45)/(E$36-F$36)+(F45-G45)/(F$36-G$36)+(E45-G45)/(E$36-G$36))/3))/3)*(((E45-F45)/(E$36-F$36)+(F45-G45)/(F$36-G$36)+(E45-G45)/(E$36-G$36))/3)</f>
        <v>2.9189313622325863</v>
      </c>
      <c r="J45" s="47"/>
      <c r="K45" s="369" t="s">
        <v>507</v>
      </c>
      <c r="L45" s="370"/>
      <c r="M45" s="141" t="s">
        <v>464</v>
      </c>
      <c r="N45" s="348">
        <f t="shared" si="2"/>
        <v>4</v>
      </c>
      <c r="O45" s="349">
        <f t="shared" si="2"/>
        <v>4</v>
      </c>
      <c r="P45" s="350">
        <f>IF(AsaRot1=1,"NA",(Capac_Esp!$H$40+Capac_Esp!$I$40)*2)</f>
        <v>9.5960000000000001</v>
      </c>
      <c r="Q45" s="231">
        <f>IF(AsaRot1=1,"NA",N45*AuPanel*Capac_Esp!$G$40+P45)</f>
        <v>24.694666666666667</v>
      </c>
      <c r="R45" s="121">
        <f>IF(AsaRot1=1,"NA",O45*AuPanel*Capac_Esp!$G$40+P45)</f>
        <v>24.694666666666667</v>
      </c>
      <c r="S45" s="353" t="str">
        <f t="shared" si="0"/>
        <v>NA</v>
      </c>
      <c r="T45" s="354" t="str">
        <f t="shared" si="1"/>
        <v>NA</v>
      </c>
      <c r="U45" s="353" t="str">
        <f>IF(AsaRot2=1,"NA",(Capac_Esp!$H$40+Capac_Esp!$I$40)+IF($S45&gt;ConfSAG/2,Capac_Esp!$H$40+Capac_Esp!$I$40,0))</f>
        <v>NA</v>
      </c>
      <c r="V45" s="354" t="str">
        <f>IF(AsaRot2=1,"NA",(Capac_Esp!$H$40+Capac_Esp!$I$40)+IF($T45&gt;ConfSAG/2,Capac_Esp!$H$40+Capac_Esp!$I$40,0))</f>
        <v>NA</v>
      </c>
      <c r="W45" s="353" t="str">
        <f>IF(AsaRot2=1,"NA",S45*AuPanel*Capac_Esp!$G$40+U45)</f>
        <v>NA</v>
      </c>
      <c r="X45" s="354" t="str">
        <f>IF(AsaRot2=1,"NA",T45*AuPanel*Capac_Esp!$G$40+V45)</f>
        <v>NA</v>
      </c>
    </row>
    <row r="46" spans="2:24" ht="15.75" thickBot="1">
      <c r="H46" s="91"/>
      <c r="K46" t="s">
        <v>662</v>
      </c>
      <c r="L46" s="32"/>
      <c r="M46" s="32"/>
      <c r="N46" s="188" t="s">
        <v>474</v>
      </c>
      <c r="O46" s="189">
        <f>MAX(Q38:R40,Q44:R45,MAX(Q41:R43)+Capac_Esp!I40*2*NOT(Sadaspre))*AsaRot2+MAX(W38:X40,W44:X45,MAX(W41:X43)+Capac_Esp!I40*2*NOT(Sadaspre))*AsaRot1</f>
        <v>32.244</v>
      </c>
      <c r="P46" s="188" t="s">
        <v>500</v>
      </c>
      <c r="Q46" s="189">
        <f>MIN(Q38:R45)*AsaRot2+MIN(W38:X45)*AsaRot1</f>
        <v>17.954666666666668</v>
      </c>
      <c r="R46" s="127" t="s">
        <v>780</v>
      </c>
      <c r="S46" s="128">
        <f>+O46-Q47</f>
        <v>7.5493333333333332</v>
      </c>
    </row>
    <row r="47" spans="2:24" ht="15.75" thickBot="1">
      <c r="B47" s="102"/>
      <c r="C47" s="103"/>
      <c r="D47" s="102"/>
      <c r="E47" s="47"/>
      <c r="F47" s="102"/>
      <c r="G47" s="47"/>
      <c r="H47" s="91"/>
      <c r="L47" s="32"/>
      <c r="M47" s="32"/>
      <c r="N47" s="639" t="s">
        <v>812</v>
      </c>
      <c r="O47" s="657"/>
      <c r="P47" s="657"/>
      <c r="Q47" s="213">
        <f>(MIN(Q38:R40,Q44:R45,MIN(Q41:R43)+Capac_Esp!I40*2*NOT(Sadaspre)))*AsaRot2+(MIN(W38:X40,W44:X45,MIN(W41:X43)+Capac_Esp!I40*2*NOT(Sadaspre)))*AsaRot1</f>
        <v>24.694666666666667</v>
      </c>
    </row>
    <row r="48" spans="2:24" ht="15.75" thickBot="1">
      <c r="B48" s="583" t="s">
        <v>655</v>
      </c>
      <c r="C48" s="584"/>
      <c r="D48" s="584"/>
      <c r="E48" s="584"/>
      <c r="F48" s="584"/>
      <c r="G48" s="584"/>
      <c r="H48" s="585"/>
      <c r="I48" s="15"/>
      <c r="J48" s="15"/>
    </row>
    <row r="49" spans="2:9" ht="15.75" thickBot="1">
      <c r="B49" s="101"/>
      <c r="C49" s="57"/>
      <c r="D49" s="646" t="s">
        <v>813</v>
      </c>
      <c r="E49" s="654"/>
      <c r="F49" s="647"/>
      <c r="G49" s="646" t="str">
        <f>NomPlat</f>
        <v>PMM</v>
      </c>
      <c r="H49" s="647"/>
    </row>
    <row r="50" spans="2:9" ht="15.75" thickBot="1">
      <c r="B50" s="288" t="s">
        <v>816</v>
      </c>
      <c r="C50" s="291" t="s">
        <v>527</v>
      </c>
      <c r="D50" s="238">
        <v>400</v>
      </c>
      <c r="E50" s="232">
        <v>700</v>
      </c>
      <c r="F50" s="239">
        <v>1500</v>
      </c>
      <c r="G50" s="243">
        <f>Orbbaix</f>
        <v>600</v>
      </c>
      <c r="H50" s="244">
        <f>Orbalta</f>
        <v>1200</v>
      </c>
      <c r="I50" s="96"/>
    </row>
    <row r="51" spans="2:9" ht="15.75" thickBot="1">
      <c r="B51" s="99"/>
      <c r="C51" s="158"/>
      <c r="D51" s="240" t="s">
        <v>65</v>
      </c>
      <c r="E51" s="241" t="s">
        <v>65</v>
      </c>
      <c r="F51" s="242" t="s">
        <v>65</v>
      </c>
      <c r="G51" s="245" t="s">
        <v>65</v>
      </c>
      <c r="H51" s="246" t="s">
        <v>65</v>
      </c>
      <c r="I51" s="94"/>
    </row>
    <row r="52" spans="2:9">
      <c r="B52" s="341" t="s">
        <v>463</v>
      </c>
      <c r="C52" s="342">
        <v>0</v>
      </c>
      <c r="D52" s="323">
        <f>(+OcEQU0400*(F18*Capac_Esp!$F$32))</f>
        <v>9.9752185081051064</v>
      </c>
      <c r="E52" s="324">
        <f>(+OcEQU0700*(F19*Capac_Esp!$F$32))</f>
        <v>9.9291431497101605</v>
      </c>
      <c r="F52" s="325">
        <f>(+OcEQU01500*(F20*Capac_Esp!$F$32))</f>
        <v>9.6413446318858682</v>
      </c>
      <c r="G52" s="330">
        <f>-0.0004*G$50+10.122</f>
        <v>9.8819999999999997</v>
      </c>
      <c r="H52" s="139">
        <f>-0.0004*H$50+10.122</f>
        <v>9.6419999999999995</v>
      </c>
      <c r="I52" s="91"/>
    </row>
    <row r="53" spans="2:9">
      <c r="B53" s="118" t="s">
        <v>799</v>
      </c>
      <c r="C53" s="343">
        <v>12</v>
      </c>
      <c r="D53" s="224">
        <f>(+OcEQU12400*(F24*Capac_Esp!$F$32))</f>
        <v>9.9747907771876836</v>
      </c>
      <c r="E53" s="314">
        <f>(+OcEQU12700*(F25*Capac_Esp!$F$32))</f>
        <v>9.7559029296400421</v>
      </c>
      <c r="F53" s="326">
        <f>(+OcEQU121500*(F26*Capac_Esp!$F$32))</f>
        <v>9.6421173070915334</v>
      </c>
      <c r="G53" s="228">
        <f>11.566*POWER(G$50,-0.025)</f>
        <v>9.8566516171187821</v>
      </c>
      <c r="H53" s="117">
        <f>11.566*POWER(H$50,-0.025)</f>
        <v>9.6873202419887008</v>
      </c>
      <c r="I53" s="91"/>
    </row>
    <row r="54" spans="2:9">
      <c r="B54" s="118" t="s">
        <v>799</v>
      </c>
      <c r="C54" s="343">
        <v>25</v>
      </c>
      <c r="D54" s="224">
        <f>(+OcEQU25400*(F30*Capac_Esp!$F$32))</f>
        <v>12.028961609219342</v>
      </c>
      <c r="E54" s="314">
        <f>(+OcEQU25700*(F31*Capac_Esp!$F$32))</f>
        <v>9.7605573779027388</v>
      </c>
      <c r="F54" s="326">
        <f>(+OcEQU251500*(F32*Capac_Esp!$F$32))</f>
        <v>9.6465003991808125</v>
      </c>
      <c r="G54" s="228">
        <f>29.687*POWER(G$50,-0.158)</f>
        <v>10.804841859877069</v>
      </c>
      <c r="H54" s="117">
        <f>29.687*POWER(H$50,-0.158)</f>
        <v>9.6840199531213713</v>
      </c>
      <c r="I54" s="91"/>
    </row>
    <row r="55" spans="2:9">
      <c r="B55" s="118" t="s">
        <v>503</v>
      </c>
      <c r="C55" s="343"/>
      <c r="D55" s="224">
        <f>(+OcSSO10H400*(F5*Capac_Esp!$F$32))</f>
        <v>9.6802681453712385</v>
      </c>
      <c r="E55" s="314">
        <f>(+OcSSO10H700*(F6*Capac_Esp!$F$32))</f>
        <v>9.3677026276510809</v>
      </c>
      <c r="F55" s="326">
        <f>(+OcSSO10H1500*(F7*Capac_Esp!$F$32))</f>
        <v>8.8014262626262614</v>
      </c>
      <c r="G55" s="228">
        <f>0.0008*G$50+9.9593</f>
        <v>10.439300000000001</v>
      </c>
      <c r="H55" s="117">
        <f>-0.0008*H$50+9.9593</f>
        <v>8.9992999999999999</v>
      </c>
      <c r="I55" s="91"/>
    </row>
    <row r="56" spans="2:9" ht="15.75" thickBot="1">
      <c r="B56" s="119" t="s">
        <v>507</v>
      </c>
      <c r="C56" s="344"/>
      <c r="D56" s="327">
        <f>(+OcSSO12H400*(F10*Capac_Esp!$F$32))</f>
        <v>9.9534456246311915</v>
      </c>
      <c r="E56" s="328">
        <f>(+OcSSO12H700*(F11*Capac_Esp!$F$32))</f>
        <v>9.4477541245791237</v>
      </c>
      <c r="F56" s="329">
        <f>(+OcSSO12H1500*(F12*Capac_Esp!$F$32))</f>
        <v>9.3402997474747487</v>
      </c>
      <c r="G56" s="231">
        <f>13*POWER(G$50,-0.046)</f>
        <v>9.6860876523092276</v>
      </c>
      <c r="H56" s="121">
        <f>13*POWER(H$50,-0.046)</f>
        <v>9.3821206824701626</v>
      </c>
      <c r="I56" s="91"/>
    </row>
    <row r="57" spans="2:9" ht="15.75" thickBot="1">
      <c r="B57" s="127" t="s">
        <v>474</v>
      </c>
      <c r="C57" s="371">
        <f>MAX(G52:H56)</f>
        <v>10.804841859877069</v>
      </c>
      <c r="D57" s="473" t="s">
        <v>500</v>
      </c>
      <c r="E57" s="100">
        <f>MIN(G52:H56)</f>
        <v>8.9992999999999999</v>
      </c>
      <c r="F57" s="473" t="s">
        <v>542</v>
      </c>
      <c r="G57" s="100">
        <f>(C57-E57)/ConfBatt</f>
        <v>1.8055418598770689</v>
      </c>
      <c r="H57" s="127" t="s">
        <v>782</v>
      </c>
      <c r="I57" s="100">
        <f>G57/ConfBatt</f>
        <v>1.8055418598770689</v>
      </c>
    </row>
    <row r="58" spans="2:9" s="155" customFormat="1" ht="15.75" thickBot="1">
      <c r="B58" s="639" t="s">
        <v>783</v>
      </c>
      <c r="C58" s="640"/>
      <c r="D58" s="553">
        <f>ConfBatt</f>
        <v>1</v>
      </c>
      <c r="E58" s="554" t="s">
        <v>895</v>
      </c>
      <c r="F58" s="497"/>
      <c r="G58" s="185">
        <f>Qbat</f>
        <v>1</v>
      </c>
      <c r="H58" s="102"/>
      <c r="I58" s="47"/>
    </row>
  </sheetData>
  <mergeCells count="24">
    <mergeCell ref="N34:R34"/>
    <mergeCell ref="N47:P47"/>
    <mergeCell ref="S34:X34"/>
    <mergeCell ref="N35:O35"/>
    <mergeCell ref="Q35:R35"/>
    <mergeCell ref="S35:T35"/>
    <mergeCell ref="U35:V35"/>
    <mergeCell ref="W35:X35"/>
    <mergeCell ref="B58:C58"/>
    <mergeCell ref="K34:M34"/>
    <mergeCell ref="H35:I35"/>
    <mergeCell ref="G49:H49"/>
    <mergeCell ref="J16:K16"/>
    <mergeCell ref="D28:E28"/>
    <mergeCell ref="D22:E22"/>
    <mergeCell ref="H22:I22"/>
    <mergeCell ref="H16:I16"/>
    <mergeCell ref="D16:E16"/>
    <mergeCell ref="H28:I28"/>
    <mergeCell ref="F16:G16"/>
    <mergeCell ref="B34:I34"/>
    <mergeCell ref="B48:H48"/>
    <mergeCell ref="E35:G35"/>
    <mergeCell ref="D49:F49"/>
  </mergeCells>
  <pageMargins left="0.511811024" right="0.511811024" top="0.78740157499999996" bottom="0.78740157499999996" header="0.31496062000000002" footer="0.31496062000000002"/>
  <pageSetup paperSize="168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>
  <dimension ref="A1:P36"/>
  <sheetViews>
    <sheetView topLeftCell="A7" workbookViewId="0">
      <selection activeCell="B35" sqref="B35"/>
    </sheetView>
  </sheetViews>
  <sheetFormatPr defaultColWidth="8.85546875" defaultRowHeight="15"/>
  <cols>
    <col min="1" max="1" width="23.7109375" customWidth="1"/>
    <col min="2" max="2" width="9.7109375" customWidth="1"/>
    <col min="3" max="4" width="9.42578125" customWidth="1"/>
    <col min="5" max="5" width="9.28515625" customWidth="1"/>
    <col min="6" max="7" width="9.42578125" bestFit="1" customWidth="1"/>
    <col min="8" max="11" width="9.7109375" bestFit="1" customWidth="1"/>
    <col min="12" max="12" width="12.42578125" bestFit="1" customWidth="1"/>
    <col min="13" max="16" width="9.7109375" bestFit="1" customWidth="1"/>
  </cols>
  <sheetData>
    <row r="1" spans="1:16" ht="15.75" thickBot="1">
      <c r="A1" s="583" t="s">
        <v>858</v>
      </c>
      <c r="B1" s="660"/>
      <c r="C1" s="660"/>
      <c r="D1" s="660"/>
      <c r="E1" s="660"/>
      <c r="F1" s="660"/>
      <c r="G1" s="660"/>
      <c r="H1" s="660"/>
      <c r="I1" s="660"/>
      <c r="J1" s="660"/>
      <c r="K1" s="661"/>
    </row>
    <row r="2" spans="1:16">
      <c r="A2" s="155"/>
      <c r="B2" s="604" t="s">
        <v>769</v>
      </c>
      <c r="C2" s="605"/>
      <c r="D2" s="605" t="s">
        <v>770</v>
      </c>
      <c r="E2" s="605"/>
      <c r="F2" s="605" t="s">
        <v>773</v>
      </c>
      <c r="G2" s="605"/>
      <c r="H2" s="605" t="s">
        <v>771</v>
      </c>
      <c r="I2" s="605"/>
      <c r="J2" s="605" t="s">
        <v>772</v>
      </c>
      <c r="K2" s="606"/>
    </row>
    <row r="3" spans="1:16" ht="15.75" thickBot="1">
      <c r="A3" s="162"/>
      <c r="B3" s="196">
        <f>Orbbaix</f>
        <v>600</v>
      </c>
      <c r="C3" s="197">
        <f>Orbalta</f>
        <v>1200</v>
      </c>
      <c r="D3" s="197">
        <f>Orbbaix</f>
        <v>600</v>
      </c>
      <c r="E3" s="197">
        <f>Orbalta</f>
        <v>1200</v>
      </c>
      <c r="F3" s="197">
        <f>Orbbaix</f>
        <v>600</v>
      </c>
      <c r="G3" s="197">
        <f>Orbalta</f>
        <v>1200</v>
      </c>
      <c r="H3" s="197">
        <f>Orbbaix</f>
        <v>600</v>
      </c>
      <c r="I3" s="197">
        <f>Orbalta</f>
        <v>1200</v>
      </c>
      <c r="J3" s="197">
        <f>Orbbaix</f>
        <v>600</v>
      </c>
      <c r="K3" s="198">
        <f>Orbalta</f>
        <v>1200</v>
      </c>
      <c r="L3" s="80"/>
      <c r="M3" s="80"/>
      <c r="N3" s="80"/>
      <c r="O3" s="80"/>
      <c r="P3" s="80"/>
    </row>
    <row r="4" spans="1:16">
      <c r="A4" s="199" t="s">
        <v>408</v>
      </c>
      <c r="B4" s="200"/>
      <c r="C4" s="200"/>
      <c r="D4" s="200"/>
      <c r="E4" s="200"/>
      <c r="F4" s="200"/>
      <c r="G4" s="200"/>
      <c r="H4" s="200"/>
      <c r="I4" s="200"/>
      <c r="J4" s="200"/>
      <c r="K4" s="201"/>
    </row>
    <row r="5" spans="1:16">
      <c r="A5" s="202" t="s">
        <v>704</v>
      </c>
      <c r="B5" s="210">
        <f ca="1">'Parametros Blind'!B120</f>
        <v>19.80184199580378</v>
      </c>
      <c r="C5" s="210">
        <f ca="1">'Parametros Blind'!C120</f>
        <v>5539.0365113230318</v>
      </c>
      <c r="D5" s="210">
        <f ca="1">'Parametros Blind'!D120</f>
        <v>6.6946792568184827</v>
      </c>
      <c r="E5" s="210">
        <f ca="1">'Parametros Blind'!E120</f>
        <v>6585.9553887324655</v>
      </c>
      <c r="F5" s="210">
        <f ca="1">'Parametros Blind'!F120</f>
        <v>921.34879718027264</v>
      </c>
      <c r="G5" s="210">
        <f ca="1">'Parametros Blind'!G120</f>
        <v>32451.941509954631</v>
      </c>
      <c r="H5" s="210">
        <f ca="1">'Parametros Blind'!H120</f>
        <v>6264.5988076075946</v>
      </c>
      <c r="I5" s="210">
        <f ca="1">'Parametros Blind'!I120</f>
        <v>30125.944232640722</v>
      </c>
      <c r="J5" s="210">
        <f ca="1">'Parametros Blind'!J120</f>
        <v>5484.4907754706828</v>
      </c>
      <c r="K5" s="117">
        <f ca="1">'Parametros Blind'!K120</f>
        <v>34810.321180744839</v>
      </c>
      <c r="L5" s="77"/>
      <c r="M5" s="77"/>
      <c r="N5" s="77"/>
      <c r="O5" s="77"/>
      <c r="P5" s="77"/>
    </row>
    <row r="6" spans="1:16">
      <c r="A6" s="202" t="s">
        <v>396</v>
      </c>
      <c r="B6" s="193">
        <f ca="1">'Parametros Blind'!B121</f>
        <v>0</v>
      </c>
      <c r="C6" s="193">
        <f ca="1">'Parametros Blind'!C121</f>
        <v>0</v>
      </c>
      <c r="D6" s="193">
        <f ca="1">'Parametros Blind'!D121</f>
        <v>0</v>
      </c>
      <c r="E6" s="193">
        <f ca="1">'Parametros Blind'!E121</f>
        <v>0</v>
      </c>
      <c r="F6" s="193">
        <f ca="1">'Parametros Blind'!F121</f>
        <v>0</v>
      </c>
      <c r="G6" s="193">
        <f ca="1">'Parametros Blind'!G121</f>
        <v>1</v>
      </c>
      <c r="H6" s="193">
        <f ca="1">'Parametros Blind'!H121</f>
        <v>0</v>
      </c>
      <c r="I6" s="193">
        <f ca="1">'Parametros Blind'!I121</f>
        <v>1</v>
      </c>
      <c r="J6" s="193">
        <f ca="1">'Parametros Blind'!J121</f>
        <v>0</v>
      </c>
      <c r="K6" s="203">
        <f ca="1">'Parametros Blind'!K121</f>
        <v>1</v>
      </c>
      <c r="L6" s="85"/>
      <c r="M6" s="85"/>
      <c r="N6" s="85"/>
      <c r="O6" s="85"/>
      <c r="P6" s="85"/>
    </row>
    <row r="7" spans="1:16">
      <c r="A7" s="202" t="s">
        <v>397</v>
      </c>
      <c r="B7" s="194">
        <f ca="1">'Parametros Blind'!B122</f>
        <v>0</v>
      </c>
      <c r="C7" s="194">
        <f ca="1">'Parametros Blind'!C122</f>
        <v>0</v>
      </c>
      <c r="D7" s="194">
        <f ca="1">'Parametros Blind'!D122</f>
        <v>0</v>
      </c>
      <c r="E7" s="194">
        <f ca="1">'Parametros Blind'!E122</f>
        <v>0</v>
      </c>
      <c r="F7" s="194">
        <f ca="1">'Parametros Blind'!F122</f>
        <v>0</v>
      </c>
      <c r="G7" s="194">
        <f ca="1">'Parametros Blind'!G122</f>
        <v>6</v>
      </c>
      <c r="H7" s="194">
        <f ca="1">'Parametros Blind'!H122</f>
        <v>0</v>
      </c>
      <c r="I7" s="194">
        <f ca="1">'Parametros Blind'!I122</f>
        <v>2</v>
      </c>
      <c r="J7" s="194">
        <f ca="1">'Parametros Blind'!J122</f>
        <v>0</v>
      </c>
      <c r="K7" s="204">
        <f ca="1">'Parametros Blind'!K122</f>
        <v>4</v>
      </c>
      <c r="L7" s="85"/>
      <c r="M7" s="85"/>
      <c r="N7" s="85"/>
      <c r="O7" s="85"/>
      <c r="P7" s="85"/>
    </row>
    <row r="8" spans="1:16">
      <c r="A8" s="205" t="s">
        <v>407</v>
      </c>
      <c r="B8" s="195"/>
      <c r="C8" s="195"/>
      <c r="D8" s="195"/>
      <c r="E8" s="195"/>
      <c r="F8" s="195"/>
      <c r="G8" s="195"/>
      <c r="H8" s="195"/>
      <c r="I8" s="195"/>
      <c r="J8" s="195"/>
      <c r="K8" s="206"/>
      <c r="L8" s="18"/>
      <c r="M8" s="18"/>
      <c r="N8" s="18"/>
      <c r="O8" s="18"/>
      <c r="P8" s="18"/>
    </row>
    <row r="9" spans="1:16">
      <c r="A9" s="202" t="s">
        <v>425</v>
      </c>
      <c r="B9" s="210">
        <f ca="1">'Parametros Blind'!B126</f>
        <v>19.80184199580378</v>
      </c>
      <c r="C9" s="210">
        <f ca="1">'Parametros Blind'!C126</f>
        <v>5539.0365113230318</v>
      </c>
      <c r="D9" s="210">
        <f ca="1">'Parametros Blind'!D126</f>
        <v>6.6946792568184827</v>
      </c>
      <c r="E9" s="210">
        <f ca="1">'Parametros Blind'!E126</f>
        <v>6585.9553887324655</v>
      </c>
      <c r="F9" s="210">
        <f ca="1">'Parametros Blind'!F126</f>
        <v>921.34879718027264</v>
      </c>
      <c r="G9" s="210">
        <f ca="1">'Parametros Blind'!G126</f>
        <v>32451.941509954631</v>
      </c>
      <c r="H9" s="210">
        <f ca="1">'Parametros Blind'!H126</f>
        <v>6264.5988076075946</v>
      </c>
      <c r="I9" s="210">
        <f ca="1">'Parametros Blind'!I126</f>
        <v>30125.944232640722</v>
      </c>
      <c r="J9" s="210">
        <f ca="1">'Parametros Blind'!J126</f>
        <v>5484.4907754706828</v>
      </c>
      <c r="K9" s="117">
        <f ca="1">'Parametros Blind'!K126</f>
        <v>34810.321180744839</v>
      </c>
      <c r="L9" s="84"/>
      <c r="M9" s="84"/>
      <c r="N9" s="84"/>
      <c r="O9" s="84"/>
      <c r="P9" s="84"/>
    </row>
    <row r="10" spans="1:16">
      <c r="A10" s="202" t="s">
        <v>396</v>
      </c>
      <c r="B10" s="193">
        <f ca="1">'Parametros Blind'!B127</f>
        <v>0</v>
      </c>
      <c r="C10" s="193">
        <f ca="1">'Parametros Blind'!C127</f>
        <v>0</v>
      </c>
      <c r="D10" s="193">
        <f ca="1">'Parametros Blind'!D127</f>
        <v>0</v>
      </c>
      <c r="E10" s="193">
        <f ca="1">'Parametros Blind'!E127</f>
        <v>0</v>
      </c>
      <c r="F10" s="193">
        <f ca="1">'Parametros Blind'!F127</f>
        <v>0</v>
      </c>
      <c r="G10" s="193">
        <f ca="1">'Parametros Blind'!G127</f>
        <v>1</v>
      </c>
      <c r="H10" s="193">
        <f ca="1">'Parametros Blind'!H127</f>
        <v>0</v>
      </c>
      <c r="I10" s="193">
        <f ca="1">'Parametros Blind'!I127</f>
        <v>1</v>
      </c>
      <c r="J10" s="193">
        <f ca="1">'Parametros Blind'!J127</f>
        <v>0</v>
      </c>
      <c r="K10" s="203">
        <f ca="1">'Parametros Blind'!K127</f>
        <v>1</v>
      </c>
      <c r="L10" s="87"/>
      <c r="M10" s="87"/>
      <c r="N10" s="87"/>
      <c r="O10" s="87"/>
      <c r="P10" s="87"/>
    </row>
    <row r="11" spans="1:16" ht="15.75" thickBot="1">
      <c r="A11" s="207" t="s">
        <v>397</v>
      </c>
      <c r="B11" s="208">
        <f ca="1">'Parametros Blind'!B128</f>
        <v>0</v>
      </c>
      <c r="C11" s="208">
        <f ca="1">'Parametros Blind'!C128</f>
        <v>0</v>
      </c>
      <c r="D11" s="208">
        <f ca="1">'Parametros Blind'!D128</f>
        <v>0</v>
      </c>
      <c r="E11" s="208">
        <f ca="1">'Parametros Blind'!E128</f>
        <v>0</v>
      </c>
      <c r="F11" s="208">
        <f ca="1">'Parametros Blind'!F128</f>
        <v>0</v>
      </c>
      <c r="G11" s="208">
        <f ca="1">'Parametros Blind'!G128</f>
        <v>1</v>
      </c>
      <c r="H11" s="208">
        <f ca="1">'Parametros Blind'!H128</f>
        <v>0</v>
      </c>
      <c r="I11" s="208">
        <f ca="1">'Parametros Blind'!I128</f>
        <v>1</v>
      </c>
      <c r="J11" s="208">
        <f ca="1">'Parametros Blind'!J128</f>
        <v>0</v>
      </c>
      <c r="K11" s="209">
        <f ca="1">'Parametros Blind'!K128</f>
        <v>1</v>
      </c>
      <c r="L11" s="86"/>
      <c r="M11" s="86"/>
      <c r="N11" s="86"/>
      <c r="O11" s="86"/>
      <c r="P11" s="86"/>
    </row>
    <row r="12" spans="1:16" s="155" customFormat="1" ht="15.75" thickBot="1">
      <c r="A12" s="583" t="s">
        <v>801</v>
      </c>
      <c r="B12" s="584"/>
      <c r="C12" s="584"/>
      <c r="D12" s="584"/>
      <c r="E12" s="584"/>
      <c r="F12" s="584"/>
      <c r="G12" s="584"/>
      <c r="H12" s="584"/>
      <c r="I12" s="584"/>
      <c r="J12" s="584"/>
      <c r="K12" s="585"/>
      <c r="L12" s="86"/>
      <c r="M12" s="86"/>
      <c r="N12" s="86"/>
      <c r="O12" s="86"/>
      <c r="P12" s="86"/>
    </row>
    <row r="13" spans="1:16" s="155" customFormat="1">
      <c r="B13" s="604" t="s">
        <v>769</v>
      </c>
      <c r="C13" s="605"/>
      <c r="D13" s="605" t="s">
        <v>770</v>
      </c>
      <c r="E13" s="605"/>
      <c r="F13" s="605" t="s">
        <v>773</v>
      </c>
      <c r="G13" s="605"/>
      <c r="H13" s="605" t="s">
        <v>771</v>
      </c>
      <c r="I13" s="605"/>
      <c r="J13" s="605" t="s">
        <v>772</v>
      </c>
      <c r="K13" s="606"/>
      <c r="L13" s="86"/>
      <c r="M13" s="86"/>
      <c r="N13" s="86"/>
      <c r="O13" s="86"/>
      <c r="P13" s="86"/>
    </row>
    <row r="14" spans="1:16" s="155" customFormat="1" ht="15.75" thickBot="1">
      <c r="A14" s="162"/>
      <c r="B14" s="196">
        <f>Orbbaix</f>
        <v>600</v>
      </c>
      <c r="C14" s="197">
        <f>Orbalta</f>
        <v>1200</v>
      </c>
      <c r="D14" s="197">
        <f>Orbbaix</f>
        <v>600</v>
      </c>
      <c r="E14" s="197">
        <f>Orbalta</f>
        <v>1200</v>
      </c>
      <c r="F14" s="197">
        <f>Orbbaix</f>
        <v>600</v>
      </c>
      <c r="G14" s="197">
        <f>Orbalta</f>
        <v>1200</v>
      </c>
      <c r="H14" s="197">
        <f>Orbbaix</f>
        <v>600</v>
      </c>
      <c r="I14" s="197">
        <f>Orbalta</f>
        <v>1200</v>
      </c>
      <c r="J14" s="197">
        <f>Orbbaix</f>
        <v>600</v>
      </c>
      <c r="K14" s="198">
        <f>Orbalta</f>
        <v>1200</v>
      </c>
      <c r="L14" s="86"/>
      <c r="M14" s="86"/>
      <c r="N14" s="86"/>
      <c r="O14" s="86"/>
      <c r="P14" s="86"/>
    </row>
    <row r="15" spans="1:16">
      <c r="A15" s="199" t="s">
        <v>410</v>
      </c>
      <c r="B15" s="200"/>
      <c r="C15" s="200"/>
      <c r="D15" s="200"/>
      <c r="E15" s="200"/>
      <c r="F15" s="200"/>
      <c r="G15" s="200"/>
      <c r="H15" s="200"/>
      <c r="I15" s="200"/>
      <c r="J15" s="200"/>
      <c r="K15" s="201"/>
    </row>
    <row r="16" spans="1:16">
      <c r="A16" s="202" t="s">
        <v>398</v>
      </c>
      <c r="B16" s="210">
        <f t="shared" ref="B16:K16" ca="1" si="0">(B7/1000)*(AEDPp/10000)*DenAl*QcDPp</f>
        <v>0</v>
      </c>
      <c r="C16" s="210">
        <f t="shared" ca="1" si="0"/>
        <v>0</v>
      </c>
      <c r="D16" s="210">
        <f t="shared" ca="1" si="0"/>
        <v>0</v>
      </c>
      <c r="E16" s="210">
        <f t="shared" ca="1" si="0"/>
        <v>0</v>
      </c>
      <c r="F16" s="210">
        <f t="shared" ca="1" si="0"/>
        <v>0</v>
      </c>
      <c r="G16" s="210">
        <f t="shared" ca="1" si="0"/>
        <v>1.553472</v>
      </c>
      <c r="H16" s="210">
        <f t="shared" ca="1" si="0"/>
        <v>0</v>
      </c>
      <c r="I16" s="210">
        <f t="shared" ca="1" si="0"/>
        <v>0.51782400000000006</v>
      </c>
      <c r="J16" s="210">
        <f t="shared" ca="1" si="0"/>
        <v>0</v>
      </c>
      <c r="K16" s="117">
        <f t="shared" ca="1" si="0"/>
        <v>1.0356480000000001</v>
      </c>
      <c r="L16" s="15"/>
      <c r="M16" s="15"/>
      <c r="N16" s="15"/>
      <c r="O16" s="15"/>
      <c r="P16" s="15"/>
    </row>
    <row r="17" spans="1:16">
      <c r="A17" s="202" t="s">
        <v>399</v>
      </c>
      <c r="B17" s="210">
        <f t="shared" ref="B17:K17" ca="1" si="1">(B7/1000)*(AEDPm/10000)*DenAl*QcDPm</f>
        <v>0</v>
      </c>
      <c r="C17" s="210">
        <f t="shared" ca="1" si="1"/>
        <v>0</v>
      </c>
      <c r="D17" s="210">
        <f t="shared" ca="1" si="1"/>
        <v>0</v>
      </c>
      <c r="E17" s="210">
        <f t="shared" ca="1" si="1"/>
        <v>0</v>
      </c>
      <c r="F17" s="210">
        <f t="shared" ca="1" si="1"/>
        <v>0</v>
      </c>
      <c r="G17" s="210">
        <f t="shared" ca="1" si="1"/>
        <v>2.91276</v>
      </c>
      <c r="H17" s="210">
        <f t="shared" ca="1" si="1"/>
        <v>0</v>
      </c>
      <c r="I17" s="210">
        <f t="shared" ca="1" si="1"/>
        <v>0.97091999999999989</v>
      </c>
      <c r="J17" s="210">
        <f t="shared" ca="1" si="1"/>
        <v>0</v>
      </c>
      <c r="K17" s="117">
        <f t="shared" ca="1" si="1"/>
        <v>1.9418399999999998</v>
      </c>
      <c r="L17" s="15"/>
      <c r="M17" s="15"/>
      <c r="N17" s="15"/>
      <c r="O17" s="15"/>
      <c r="P17" s="15"/>
    </row>
    <row r="18" spans="1:16">
      <c r="A18" s="202" t="s">
        <v>400</v>
      </c>
      <c r="B18" s="210">
        <f t="shared" ref="B18:K18" ca="1" si="2">(B7/1000)*(AEDPg/10000)*DenAl*QcDPg</f>
        <v>0</v>
      </c>
      <c r="C18" s="210">
        <f t="shared" ca="1" si="2"/>
        <v>0</v>
      </c>
      <c r="D18" s="210">
        <f t="shared" ca="1" si="2"/>
        <v>0</v>
      </c>
      <c r="E18" s="210">
        <f t="shared" ca="1" si="2"/>
        <v>0</v>
      </c>
      <c r="F18" s="210">
        <f t="shared" ca="1" si="2"/>
        <v>0</v>
      </c>
      <c r="G18" s="210">
        <f t="shared" ca="1" si="2"/>
        <v>1.45638</v>
      </c>
      <c r="H18" s="210">
        <f t="shared" ca="1" si="2"/>
        <v>0</v>
      </c>
      <c r="I18" s="210">
        <f t="shared" ca="1" si="2"/>
        <v>0.48545999999999995</v>
      </c>
      <c r="J18" s="210">
        <f t="shared" ca="1" si="2"/>
        <v>0</v>
      </c>
      <c r="K18" s="117">
        <f t="shared" ca="1" si="2"/>
        <v>0.97091999999999989</v>
      </c>
      <c r="L18" s="15"/>
      <c r="M18" s="15"/>
      <c r="N18" s="15"/>
      <c r="O18" s="15"/>
      <c r="P18" s="15"/>
    </row>
    <row r="19" spans="1:16">
      <c r="A19" s="202" t="s">
        <v>418</v>
      </c>
      <c r="B19" s="210">
        <f ca="1">SUM(B16:B18)</f>
        <v>0</v>
      </c>
      <c r="C19" s="210">
        <f t="shared" ref="C19:K19" ca="1" si="3">SUM(C16:C18)</f>
        <v>0</v>
      </c>
      <c r="D19" s="210">
        <f t="shared" ca="1" si="3"/>
        <v>0</v>
      </c>
      <c r="E19" s="210">
        <f t="shared" ca="1" si="3"/>
        <v>0</v>
      </c>
      <c r="F19" s="210">
        <f t="shared" ca="1" si="3"/>
        <v>0</v>
      </c>
      <c r="G19" s="210">
        <f t="shared" ca="1" si="3"/>
        <v>5.922612</v>
      </c>
      <c r="H19" s="210">
        <f t="shared" ca="1" si="3"/>
        <v>0</v>
      </c>
      <c r="I19" s="210">
        <f t="shared" ca="1" si="3"/>
        <v>1.9742040000000001</v>
      </c>
      <c r="J19" s="210">
        <f t="shared" ca="1" si="3"/>
        <v>0</v>
      </c>
      <c r="K19" s="117">
        <f t="shared" ca="1" si="3"/>
        <v>3.9484080000000001</v>
      </c>
      <c r="L19" s="15"/>
      <c r="M19" s="15"/>
      <c r="N19" s="15"/>
      <c r="O19" s="15"/>
      <c r="P19" s="15"/>
    </row>
    <row r="20" spans="1:16">
      <c r="A20" s="205" t="s">
        <v>401</v>
      </c>
      <c r="B20" s="192"/>
      <c r="C20" s="192"/>
      <c r="D20" s="192"/>
      <c r="E20" s="192"/>
      <c r="F20" s="192"/>
      <c r="G20" s="192"/>
      <c r="H20" s="192"/>
      <c r="I20" s="192"/>
      <c r="J20" s="192"/>
      <c r="K20" s="211"/>
    </row>
    <row r="21" spans="1:16">
      <c r="A21" s="202" t="s">
        <v>398</v>
      </c>
      <c r="B21" s="210">
        <f t="shared" ref="B21:K21" ca="1" si="4">(B11/1000)*(AEAdp/10000)*DenAl*QcAdp</f>
        <v>0</v>
      </c>
      <c r="C21" s="210">
        <f t="shared" ca="1" si="4"/>
        <v>0</v>
      </c>
      <c r="D21" s="210">
        <f t="shared" ca="1" si="4"/>
        <v>0</v>
      </c>
      <c r="E21" s="210">
        <f t="shared" ca="1" si="4"/>
        <v>0</v>
      </c>
      <c r="F21" s="210">
        <f t="shared" ca="1" si="4"/>
        <v>0</v>
      </c>
      <c r="G21" s="210">
        <f t="shared" ca="1" si="4"/>
        <v>0.25891200000000003</v>
      </c>
      <c r="H21" s="210">
        <f t="shared" ca="1" si="4"/>
        <v>0</v>
      </c>
      <c r="I21" s="210">
        <f t="shared" ca="1" si="4"/>
        <v>0.25891200000000003</v>
      </c>
      <c r="J21" s="210">
        <f t="shared" ca="1" si="4"/>
        <v>0</v>
      </c>
      <c r="K21" s="117">
        <f t="shared" ca="1" si="4"/>
        <v>0.25891200000000003</v>
      </c>
      <c r="L21" s="15"/>
      <c r="M21" s="15"/>
      <c r="N21" s="15"/>
      <c r="O21" s="15"/>
      <c r="P21" s="15"/>
    </row>
    <row r="22" spans="1:16">
      <c r="A22" s="202" t="s">
        <v>399</v>
      </c>
      <c r="B22" s="210">
        <f t="shared" ref="B22:K22" ca="1" si="5">(B11/1000)*(AEAdm/10000)*DenAl*QcAdm</f>
        <v>0</v>
      </c>
      <c r="C22" s="210">
        <f t="shared" ca="1" si="5"/>
        <v>0</v>
      </c>
      <c r="D22" s="210">
        <f t="shared" ca="1" si="5"/>
        <v>0</v>
      </c>
      <c r="E22" s="210">
        <f t="shared" ca="1" si="5"/>
        <v>0</v>
      </c>
      <c r="F22" s="210">
        <f t="shared" ca="1" si="5"/>
        <v>0</v>
      </c>
      <c r="G22" s="210">
        <f t="shared" ca="1" si="5"/>
        <v>0.48545999999999995</v>
      </c>
      <c r="H22" s="210">
        <f t="shared" ca="1" si="5"/>
        <v>0</v>
      </c>
      <c r="I22" s="210">
        <f t="shared" ca="1" si="5"/>
        <v>0.48545999999999995</v>
      </c>
      <c r="J22" s="210">
        <f t="shared" ca="1" si="5"/>
        <v>0</v>
      </c>
      <c r="K22" s="117">
        <f t="shared" ca="1" si="5"/>
        <v>0.48545999999999995</v>
      </c>
      <c r="L22" s="15"/>
      <c r="M22" s="15"/>
      <c r="N22" s="15"/>
      <c r="O22" s="15"/>
      <c r="P22" s="15"/>
    </row>
    <row r="23" spans="1:16">
      <c r="A23" s="202" t="s">
        <v>400</v>
      </c>
      <c r="B23" s="210">
        <f t="shared" ref="B23:K23" ca="1" si="6">(B11/1000)*(AEAdg/10000)*DenAl*QcAdg</f>
        <v>0</v>
      </c>
      <c r="C23" s="210">
        <f t="shared" ca="1" si="6"/>
        <v>0</v>
      </c>
      <c r="D23" s="210">
        <f t="shared" ca="1" si="6"/>
        <v>0</v>
      </c>
      <c r="E23" s="210">
        <f t="shared" ca="1" si="6"/>
        <v>0</v>
      </c>
      <c r="F23" s="210">
        <f t="shared" ca="1" si="6"/>
        <v>0</v>
      </c>
      <c r="G23" s="210">
        <f t="shared" ca="1" si="6"/>
        <v>0</v>
      </c>
      <c r="H23" s="210">
        <f t="shared" ca="1" si="6"/>
        <v>0</v>
      </c>
      <c r="I23" s="210">
        <f t="shared" ca="1" si="6"/>
        <v>0</v>
      </c>
      <c r="J23" s="210">
        <f t="shared" ca="1" si="6"/>
        <v>0</v>
      </c>
      <c r="K23" s="117">
        <f t="shared" ca="1" si="6"/>
        <v>0</v>
      </c>
      <c r="L23" s="15"/>
      <c r="M23" s="15"/>
      <c r="N23" s="15"/>
      <c r="O23" s="15"/>
      <c r="P23" s="15"/>
    </row>
    <row r="24" spans="1:16" ht="15.75" thickBot="1">
      <c r="A24" s="207" t="s">
        <v>418</v>
      </c>
      <c r="B24" s="212">
        <f ca="1">SUM(B21:B23)</f>
        <v>0</v>
      </c>
      <c r="C24" s="212">
        <f t="shared" ref="C24:K24" ca="1" si="7">SUM(C21:C23)</f>
        <v>0</v>
      </c>
      <c r="D24" s="212">
        <f t="shared" ca="1" si="7"/>
        <v>0</v>
      </c>
      <c r="E24" s="212">
        <f t="shared" ca="1" si="7"/>
        <v>0</v>
      </c>
      <c r="F24" s="212">
        <f t="shared" ca="1" si="7"/>
        <v>0</v>
      </c>
      <c r="G24" s="212">
        <f t="shared" ca="1" si="7"/>
        <v>0.74437200000000003</v>
      </c>
      <c r="H24" s="212">
        <f t="shared" ca="1" si="7"/>
        <v>0</v>
      </c>
      <c r="I24" s="212">
        <f t="shared" ca="1" si="7"/>
        <v>0.74437200000000003</v>
      </c>
      <c r="J24" s="212">
        <f t="shared" ca="1" si="7"/>
        <v>0</v>
      </c>
      <c r="K24" s="121">
        <f t="shared" ca="1" si="7"/>
        <v>0.74437200000000003</v>
      </c>
      <c r="L24" s="15"/>
      <c r="M24" s="15"/>
      <c r="N24" s="15"/>
      <c r="O24" s="15"/>
      <c r="P24" s="15"/>
    </row>
    <row r="25" spans="1:16" ht="15.75" thickBot="1"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</row>
    <row r="26" spans="1:16" ht="15.75" thickBot="1">
      <c r="A26" s="583" t="s">
        <v>508</v>
      </c>
      <c r="B26" s="584"/>
      <c r="C26" s="584"/>
      <c r="D26" s="585"/>
      <c r="E26" s="179"/>
      <c r="F26" s="179"/>
      <c r="G26" s="179"/>
    </row>
    <row r="27" spans="1:16" ht="15.75" thickBot="1">
      <c r="A27" s="170"/>
      <c r="B27" s="158"/>
      <c r="C27" s="662" t="str">
        <f>NomPlat</f>
        <v>PMM</v>
      </c>
      <c r="D27" s="663"/>
    </row>
    <row r="28" spans="1:16" ht="15.75" thickBot="1">
      <c r="A28" s="372" t="s">
        <v>501</v>
      </c>
      <c r="B28" s="291" t="s">
        <v>527</v>
      </c>
      <c r="C28" s="243">
        <f>Orbbaix</f>
        <v>600</v>
      </c>
      <c r="D28" s="244">
        <f>Orbalta</f>
        <v>1200</v>
      </c>
    </row>
    <row r="29" spans="1:16" ht="15.75" thickBot="1">
      <c r="A29" s="373"/>
      <c r="B29" s="61"/>
      <c r="C29" s="398" t="s">
        <v>526</v>
      </c>
      <c r="D29" s="399" t="s">
        <v>526</v>
      </c>
      <c r="F29" s="29"/>
    </row>
    <row r="30" spans="1:16">
      <c r="A30" s="341" t="s">
        <v>463</v>
      </c>
      <c r="B30" s="395">
        <v>0</v>
      </c>
      <c r="C30" s="400">
        <f ca="1">(B19+B24)*(FReB)</f>
        <v>0</v>
      </c>
      <c r="D30" s="401">
        <f ca="1">(C19+C24)*(FReB)</f>
        <v>0</v>
      </c>
    </row>
    <row r="31" spans="1:16">
      <c r="A31" s="118" t="s">
        <v>800</v>
      </c>
      <c r="B31" s="396">
        <v>12</v>
      </c>
      <c r="C31" s="402">
        <f ca="1">(D19+D24)*(FReB)</f>
        <v>0</v>
      </c>
      <c r="D31" s="403">
        <f ca="1">(E19+E24)*(FReB)</f>
        <v>0</v>
      </c>
    </row>
    <row r="32" spans="1:16">
      <c r="A32" s="118" t="s">
        <v>800</v>
      </c>
      <c r="B32" s="396">
        <v>25</v>
      </c>
      <c r="C32" s="402">
        <f ca="1">(F19+F24)*(FReB)</f>
        <v>0</v>
      </c>
      <c r="D32" s="403">
        <f ca="1">(G19+G24)*(FReB)</f>
        <v>6.6669840000000002</v>
      </c>
    </row>
    <row r="33" spans="1:7">
      <c r="A33" s="118" t="s">
        <v>503</v>
      </c>
      <c r="B33" s="397"/>
      <c r="C33" s="402">
        <f ca="1">(H19+H24)*(FReB)</f>
        <v>0</v>
      </c>
      <c r="D33" s="403">
        <f ca="1">(I19+I24)*(FReB)</f>
        <v>2.7185760000000001</v>
      </c>
    </row>
    <row r="34" spans="1:7" ht="15.75" thickBot="1">
      <c r="A34" s="391" t="s">
        <v>507</v>
      </c>
      <c r="B34" s="52"/>
      <c r="C34" s="404">
        <f ca="1">(J19+J24)*(FReB)</f>
        <v>0</v>
      </c>
      <c r="D34" s="405">
        <f ca="1">(K19+K24)*(FReB)</f>
        <v>4.69278</v>
      </c>
    </row>
    <row r="35" spans="1:7" ht="15.75" thickBot="1">
      <c r="A35" s="392" t="s">
        <v>474</v>
      </c>
      <c r="B35" s="425">
        <f ca="1">MAX(C30:D34)</f>
        <v>6.6669840000000002</v>
      </c>
      <c r="C35" s="137" t="s">
        <v>500</v>
      </c>
      <c r="D35" s="128">
        <f ca="1">MIN(C30:D34)</f>
        <v>0</v>
      </c>
      <c r="G35" s="15"/>
    </row>
    <row r="36" spans="1:7" ht="15.75" thickBot="1">
      <c r="A36" s="393" t="s">
        <v>819</v>
      </c>
      <c r="B36" s="394">
        <f>FReB</f>
        <v>1</v>
      </c>
      <c r="C36" s="387" t="s">
        <v>788</v>
      </c>
      <c r="D36" s="100">
        <f ca="1">+B35-D35</f>
        <v>6.6669840000000002</v>
      </c>
    </row>
  </sheetData>
  <sheetProtection password="CAF5" sheet="1" objects="1" scenarios="1"/>
  <mergeCells count="14">
    <mergeCell ref="A26:D26"/>
    <mergeCell ref="C27:D27"/>
    <mergeCell ref="B2:C2"/>
    <mergeCell ref="D2:E2"/>
    <mergeCell ref="F2:G2"/>
    <mergeCell ref="A1:K1"/>
    <mergeCell ref="A12:K12"/>
    <mergeCell ref="B13:C13"/>
    <mergeCell ref="D13:E13"/>
    <mergeCell ref="F13:G13"/>
    <mergeCell ref="H13:I13"/>
    <mergeCell ref="J13:K13"/>
    <mergeCell ref="H2:I2"/>
    <mergeCell ref="J2:K2"/>
  </mergeCells>
  <pageMargins left="0.511811024" right="0.511811024" top="0.78740157499999996" bottom="0.78740157499999996" header="0.31496062000000002" footer="0.31496062000000002"/>
  <pageSetup paperSize="11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>
  <dimension ref="A1:J30"/>
  <sheetViews>
    <sheetView topLeftCell="A4" workbookViewId="0">
      <selection activeCell="I28" sqref="I28"/>
    </sheetView>
  </sheetViews>
  <sheetFormatPr defaultColWidth="8.85546875" defaultRowHeight="15"/>
  <cols>
    <col min="1" max="1" width="10" customWidth="1"/>
    <col min="2" max="2" width="11" customWidth="1"/>
    <col min="3" max="3" width="23.7109375" customWidth="1"/>
    <col min="4" max="4" width="12.28515625" customWidth="1"/>
    <col min="5" max="5" width="10.42578125" customWidth="1"/>
    <col min="7" max="7" width="9.85546875" customWidth="1"/>
  </cols>
  <sheetData>
    <row r="1" spans="1:10" ht="15.75" thickBot="1"/>
    <row r="2" spans="1:10" ht="30">
      <c r="A2" s="410" t="s">
        <v>631</v>
      </c>
      <c r="B2" s="341"/>
      <c r="C2" s="123"/>
      <c r="D2" s="131" t="s">
        <v>691</v>
      </c>
      <c r="E2" s="124" t="s">
        <v>634</v>
      </c>
      <c r="F2" s="124" t="s">
        <v>635</v>
      </c>
      <c r="G2" s="407" t="s">
        <v>690</v>
      </c>
      <c r="H2" s="414" t="s">
        <v>824</v>
      </c>
      <c r="I2" s="415" t="s">
        <v>825</v>
      </c>
    </row>
    <row r="3" spans="1:10" ht="18">
      <c r="A3" s="411"/>
      <c r="B3" s="416"/>
      <c r="C3" s="140"/>
      <c r="D3" s="122" t="s">
        <v>700</v>
      </c>
      <c r="E3" s="122" t="s">
        <v>699</v>
      </c>
      <c r="F3" s="122" t="s">
        <v>698</v>
      </c>
      <c r="G3" s="396" t="s">
        <v>701</v>
      </c>
      <c r="H3" s="115"/>
      <c r="I3" s="343"/>
    </row>
    <row r="4" spans="1:10">
      <c r="A4" s="412"/>
      <c r="B4" s="118"/>
      <c r="C4" s="115"/>
      <c r="D4" s="122" t="s">
        <v>97</v>
      </c>
      <c r="E4" s="122" t="s">
        <v>638</v>
      </c>
      <c r="F4" s="122" t="s">
        <v>638</v>
      </c>
      <c r="G4" s="396" t="s">
        <v>97</v>
      </c>
      <c r="H4" s="366" t="s">
        <v>1</v>
      </c>
      <c r="I4" s="417" t="s">
        <v>1</v>
      </c>
    </row>
    <row r="5" spans="1:10" ht="15.75" thickBot="1">
      <c r="A5" s="413"/>
      <c r="B5" s="119" t="s">
        <v>640</v>
      </c>
      <c r="C5" s="120" t="s">
        <v>639</v>
      </c>
      <c r="D5" s="120">
        <f>Efsmsx</f>
        <v>4.0000000000000002E-4</v>
      </c>
      <c r="E5" s="120">
        <f>MAX(Dneprc*DneprAlg,PSLVc*PSLVAlg,Rockotc*RockotAlg,Taurusc*TaurusAlg,Vegac*VegaAlg)</f>
        <v>8.3000000000000007</v>
      </c>
      <c r="F5" s="120">
        <f>MIN(IF(Dneprc=1,DneprAlg,999),IF(PSLVc=1,PSLVAlg,999),IF(Rockotc=1,RockotAlg,999),IF(Taurusc=1,TaurusAlg,999),IF(Vegac=1,VegaAlg,999))</f>
        <v>5.5</v>
      </c>
      <c r="G5" s="408">
        <f>D5/POWER(E5/F5,2/3)</f>
        <v>3.040299649303794E-4</v>
      </c>
      <c r="H5" s="328">
        <f>2*AxP*D5*DenAl</f>
        <v>1.9472339999999999</v>
      </c>
      <c r="I5" s="329">
        <f>2*AxP*G5*DenAl</f>
        <v>1.480043711828106</v>
      </c>
    </row>
    <row r="6" spans="1:10" ht="15.75" thickBot="1"/>
    <row r="7" spans="1:10" ht="31.5">
      <c r="A7" s="116" t="s">
        <v>636</v>
      </c>
      <c r="B7" s="123"/>
      <c r="C7" s="123"/>
      <c r="D7" s="124" t="s">
        <v>700</v>
      </c>
      <c r="E7" s="124" t="s">
        <v>699</v>
      </c>
      <c r="F7" s="124" t="s">
        <v>698</v>
      </c>
      <c r="G7" s="395" t="s">
        <v>701</v>
      </c>
      <c r="H7" s="414" t="s">
        <v>824</v>
      </c>
      <c r="I7" s="415" t="s">
        <v>825</v>
      </c>
    </row>
    <row r="8" spans="1:10">
      <c r="A8" s="118"/>
      <c r="B8" s="115"/>
      <c r="C8" s="115"/>
      <c r="D8" s="122" t="s">
        <v>97</v>
      </c>
      <c r="E8" s="122" t="s">
        <v>638</v>
      </c>
      <c r="F8" s="122" t="s">
        <v>638</v>
      </c>
      <c r="G8" s="396" t="s">
        <v>97</v>
      </c>
      <c r="H8" s="366" t="s">
        <v>1</v>
      </c>
      <c r="I8" s="417" t="s">
        <v>1</v>
      </c>
    </row>
    <row r="9" spans="1:10" ht="15.75" thickBot="1">
      <c r="A9" s="119"/>
      <c r="B9" s="120" t="s">
        <v>641</v>
      </c>
      <c r="C9" s="120" t="s">
        <v>639</v>
      </c>
      <c r="D9" s="120">
        <f>Efslat</f>
        <v>5.9999999999999995E-4</v>
      </c>
      <c r="E9" s="120">
        <f>MAX(Dneprc*DneprAlt,PSLVc*PSLVAlt,Rockotc*RockotAlt,Taurusc*TaurusAlt,Vegac*VegaAlt)</f>
        <v>1</v>
      </c>
      <c r="F9" s="120">
        <f>MIN(IF(Dneprc=1,DneprAlt,999),IF(PSLVc=1,PSLVAlt,999),IF(Rockotc=1,RockotAlt,999),IF(Taurusc=1,TaurusAlt,999),IF(Vegac=1,VegaAlt,999))</f>
        <v>0.6</v>
      </c>
      <c r="G9" s="408">
        <f>D9/POWER(E9/F9,2/3)</f>
        <v>4.2682719653880754E-4</v>
      </c>
      <c r="H9" s="328">
        <f>2*AyP*D9*DenAl</f>
        <v>3.0745800000000001</v>
      </c>
      <c r="I9" s="329">
        <f>2*AyP*G9*DenAl</f>
        <v>2.1871906032238115</v>
      </c>
    </row>
    <row r="10" spans="1:10" ht="15.75" thickBot="1">
      <c r="A10" s="57"/>
      <c r="B10" s="57"/>
      <c r="C10" s="57"/>
      <c r="D10" s="57"/>
      <c r="E10" s="57"/>
      <c r="F10" s="57"/>
      <c r="G10" s="57"/>
    </row>
    <row r="11" spans="1:10" ht="31.5">
      <c r="A11" s="116" t="s">
        <v>637</v>
      </c>
      <c r="B11" s="123"/>
      <c r="C11" s="123"/>
      <c r="D11" s="124" t="s">
        <v>700</v>
      </c>
      <c r="E11" s="124" t="s">
        <v>699</v>
      </c>
      <c r="F11" s="124" t="s">
        <v>698</v>
      </c>
      <c r="G11" s="124" t="s">
        <v>701</v>
      </c>
      <c r="H11" s="414" t="s">
        <v>824</v>
      </c>
      <c r="I11" s="415" t="s">
        <v>825</v>
      </c>
    </row>
    <row r="12" spans="1:10">
      <c r="A12" s="118"/>
      <c r="B12" s="115"/>
      <c r="C12" s="115"/>
      <c r="D12" s="122" t="s">
        <v>97</v>
      </c>
      <c r="E12" s="122" t="s">
        <v>638</v>
      </c>
      <c r="F12" s="122" t="s">
        <v>638</v>
      </c>
      <c r="G12" s="122" t="s">
        <v>97</v>
      </c>
      <c r="H12" s="366" t="s">
        <v>1</v>
      </c>
      <c r="I12" s="417" t="s">
        <v>1</v>
      </c>
    </row>
    <row r="13" spans="1:10">
      <c r="A13" s="118" t="s">
        <v>695</v>
      </c>
      <c r="B13" s="115" t="s">
        <v>640</v>
      </c>
      <c r="C13" s="115" t="s">
        <v>639</v>
      </c>
      <c r="D13" s="115">
        <f>Efsmnx</f>
        <v>8.0000000000000004E-4</v>
      </c>
      <c r="E13" s="115">
        <f>MAX(Dneprc*DneprAlg,PSLVc*PSLVAlg,Rockotc*RockotAlg,Taurusc*TaurusAlg,Vegac*VegaAlg)</f>
        <v>8.3000000000000007</v>
      </c>
      <c r="F13" s="115">
        <f>MIN(IF(Dneprc=1,DneprAlg,999),IF(PSLVc=1,PSLVAlg,999),IF(Rockotc=1,RockotAlg,999),IF(Taurusc=1,TaurusAlg,999),IF(Vegac=1,VegaAlg,999))</f>
        <v>5.5</v>
      </c>
      <c r="G13" s="115">
        <f>D13/POWER(E13/F13,2/3)</f>
        <v>6.080599298607588E-4</v>
      </c>
      <c r="H13" s="409">
        <f>2*AyP*D13*DenAl</f>
        <v>4.0994400000000004</v>
      </c>
      <c r="I13" s="376">
        <f>2*AyP*G13*DenAl</f>
        <v>3.1158814985854861</v>
      </c>
      <c r="J13" s="155"/>
    </row>
    <row r="14" spans="1:10">
      <c r="A14" s="118" t="s">
        <v>694</v>
      </c>
      <c r="B14" s="115" t="s">
        <v>640</v>
      </c>
      <c r="C14" s="115" t="s">
        <v>639</v>
      </c>
      <c r="D14" s="115">
        <f>Efsmnx</f>
        <v>8.0000000000000004E-4</v>
      </c>
      <c r="E14" s="115"/>
      <c r="F14" s="115"/>
      <c r="G14" s="115">
        <f>D14/POWER(E13/F13,2/3)</f>
        <v>6.080599298607588E-4</v>
      </c>
      <c r="H14" s="409">
        <f>2*AyP*D14*DenAl</f>
        <v>4.0994400000000004</v>
      </c>
      <c r="I14" s="376">
        <f>2*AyP*G14*DenAl</f>
        <v>3.1158814985854861</v>
      </c>
      <c r="J14" s="155"/>
    </row>
    <row r="15" spans="1:10">
      <c r="A15" s="118"/>
      <c r="B15" s="115"/>
      <c r="C15" s="115"/>
      <c r="D15" s="122" t="s">
        <v>97</v>
      </c>
      <c r="E15" s="122" t="s">
        <v>649</v>
      </c>
      <c r="F15" s="122" t="s">
        <v>649</v>
      </c>
      <c r="G15" s="122" t="s">
        <v>97</v>
      </c>
      <c r="H15" s="115"/>
      <c r="I15" s="343"/>
      <c r="J15" s="155"/>
    </row>
    <row r="16" spans="1:10">
      <c r="A16" s="118" t="s">
        <v>695</v>
      </c>
      <c r="B16" s="115" t="s">
        <v>632</v>
      </c>
      <c r="C16" s="115" t="s">
        <v>642</v>
      </c>
      <c r="D16" s="115">
        <f>Aswmnx</f>
        <v>0.06</v>
      </c>
      <c r="E16" s="115">
        <f>MAX(Dneprc*Dneprf1m,PSLVc*PSLVf1m,Rockotc*Rockotf1m,Taurusc*Taurusf1m,Vegac*Vegaf1m)</f>
        <v>40</v>
      </c>
      <c r="F16" s="115">
        <f>MIN(IF(Dneprc=1,Dneprf1m,999),IF(PSLVc=1,PSLVf1m,999),IF(Rockotc=1,Rockotf1m,999),IF(Taurusc=1,Taurusf1m,999),IF(Vegac=1,Vegaf1m,999))</f>
        <v>20</v>
      </c>
      <c r="G16" s="115">
        <f>D16/((E16/F16)*POWER(G13/D13,1/2))</f>
        <v>3.441066421257475E-2</v>
      </c>
      <c r="H16" s="409">
        <f>2*AxP*D16*DenCol</f>
        <v>5.3778784169849398</v>
      </c>
      <c r="I16" s="376">
        <f>2*AxP*G16*DenCol</f>
        <v>3.0842728063820304</v>
      </c>
      <c r="J16" s="155"/>
    </row>
    <row r="17" spans="1:10" ht="15.75" thickBot="1">
      <c r="A17" s="119" t="s">
        <v>694</v>
      </c>
      <c r="B17" s="120" t="s">
        <v>632</v>
      </c>
      <c r="C17" s="120" t="s">
        <v>642</v>
      </c>
      <c r="D17" s="120">
        <f>Aswmnx</f>
        <v>0.06</v>
      </c>
      <c r="E17" s="120"/>
      <c r="F17" s="120"/>
      <c r="G17" s="120">
        <f>D17/((E16/F16)*POWER(G14/D14,1/2))</f>
        <v>3.441066421257475E-2</v>
      </c>
      <c r="H17" s="418">
        <f>2*AxP*D17*DenCol</f>
        <v>5.3778784169849398</v>
      </c>
      <c r="I17" s="377">
        <f>2*AxP*G17*DenCol</f>
        <v>3.0842728063820304</v>
      </c>
      <c r="J17" s="155"/>
    </row>
    <row r="19" spans="1:10" ht="15.75" thickBot="1">
      <c r="H19" s="15"/>
      <c r="I19" s="15"/>
      <c r="J19" s="15"/>
    </row>
    <row r="20" spans="1:10" ht="15.75" thickBot="1">
      <c r="B20" s="664" t="s">
        <v>663</v>
      </c>
      <c r="C20" s="660"/>
      <c r="D20" s="660"/>
      <c r="E20" s="661"/>
    </row>
    <row r="21" spans="1:10" ht="36" customHeight="1" thickBot="1">
      <c r="B21" s="133" t="s">
        <v>802</v>
      </c>
      <c r="C21" s="134" t="s">
        <v>803</v>
      </c>
      <c r="D21" s="135" t="s">
        <v>805</v>
      </c>
      <c r="E21" s="136" t="s">
        <v>804</v>
      </c>
    </row>
    <row r="22" spans="1:10">
      <c r="B22" s="138" t="s">
        <v>806</v>
      </c>
      <c r="C22" s="123" t="s">
        <v>808</v>
      </c>
      <c r="D22" s="385">
        <f>H5-I5</f>
        <v>0.4671902881718939</v>
      </c>
      <c r="E22" s="352">
        <f>+D22</f>
        <v>0.4671902881718939</v>
      </c>
    </row>
    <row r="23" spans="1:10">
      <c r="B23" s="118" t="s">
        <v>650</v>
      </c>
      <c r="C23" s="115" t="s">
        <v>809</v>
      </c>
      <c r="D23" s="386">
        <f>H9-I9</f>
        <v>0.88738939677618855</v>
      </c>
      <c r="E23" s="230">
        <f>4*D23</f>
        <v>3.5495575871047542</v>
      </c>
    </row>
    <row r="24" spans="1:10">
      <c r="B24" s="118" t="s">
        <v>807</v>
      </c>
      <c r="C24" s="115" t="s">
        <v>696</v>
      </c>
      <c r="D24" s="386" t="str">
        <f>IF(Cfsi=1,"NA",H13-I13)</f>
        <v>NA</v>
      </c>
      <c r="E24" s="230" t="str">
        <f>D24</f>
        <v>NA</v>
      </c>
    </row>
    <row r="25" spans="1:10">
      <c r="B25" s="118"/>
      <c r="C25" s="115" t="s">
        <v>810</v>
      </c>
      <c r="D25" s="386">
        <f>IF(Cfsi=0,"NA",H14-I14)</f>
        <v>0.98355850141451429</v>
      </c>
      <c r="E25" s="230">
        <f>D25</f>
        <v>0.98355850141451429</v>
      </c>
    </row>
    <row r="26" spans="1:10">
      <c r="B26" s="118"/>
      <c r="C26" s="115" t="s">
        <v>697</v>
      </c>
      <c r="D26" s="386" t="str">
        <f>IF(Cfsi=1,"NA",H16-I16)</f>
        <v>NA</v>
      </c>
      <c r="E26" s="230" t="str">
        <f>D26</f>
        <v>NA</v>
      </c>
    </row>
    <row r="27" spans="1:10" ht="15.75" thickBot="1">
      <c r="B27" s="391"/>
      <c r="C27" s="419" t="s">
        <v>811</v>
      </c>
      <c r="D27" s="420">
        <f>IF(Cfsi=0,"NA",H17-I17)</f>
        <v>2.2936056106029095</v>
      </c>
      <c r="E27" s="421">
        <f>D27</f>
        <v>2.2936056106029095</v>
      </c>
    </row>
    <row r="28" spans="1:10" ht="15.75" thickBot="1">
      <c r="B28" s="406" t="s">
        <v>651</v>
      </c>
      <c r="C28" s="423"/>
      <c r="D28" s="424"/>
      <c r="E28" s="422">
        <f>SUM(E22:E27)</f>
        <v>7.2939119872940719</v>
      </c>
    </row>
    <row r="29" spans="1:10">
      <c r="C29" s="427" t="s">
        <v>827</v>
      </c>
      <c r="D29" s="425">
        <f>H5+4*H9+Cfsi*(H13+H16)+NOT(Cfsi)*(H14+H17)</f>
        <v>23.722872416984941</v>
      </c>
    </row>
    <row r="30" spans="1:10" ht="15.75" thickBot="1">
      <c r="C30" s="428" t="s">
        <v>826</v>
      </c>
      <c r="D30" s="426">
        <f>I5+4*I9+Cfsi*(I13+I16)+NOT(Cfsi)*(I14+I17)</f>
        <v>16.428960429690868</v>
      </c>
    </row>
  </sheetData>
  <sheetProtection password="CAF5" sheet="1" objects="1" scenarios="1"/>
  <mergeCells count="1">
    <mergeCell ref="B20:E20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B3:Z44"/>
  <sheetViews>
    <sheetView workbookViewId="0">
      <selection activeCell="H9" sqref="H9"/>
    </sheetView>
  </sheetViews>
  <sheetFormatPr defaultColWidth="8.85546875" defaultRowHeight="15"/>
  <cols>
    <col min="2" max="2" width="4" style="155" customWidth="1"/>
    <col min="3" max="3" width="33.7109375" customWidth="1"/>
    <col min="7" max="7" width="22" customWidth="1"/>
  </cols>
  <sheetData>
    <row r="3" spans="2:26" ht="15.75" thickBot="1">
      <c r="I3" s="429"/>
      <c r="J3" s="429"/>
      <c r="K3" s="429"/>
      <c r="M3" s="429"/>
      <c r="N3" s="429"/>
      <c r="P3" s="429"/>
      <c r="Q3" s="429"/>
      <c r="R3" s="429"/>
      <c r="T3" s="429"/>
      <c r="U3" s="429"/>
      <c r="V3" s="429"/>
      <c r="X3" s="429"/>
      <c r="Y3" s="429"/>
      <c r="Z3" s="429"/>
    </row>
    <row r="4" spans="2:26" ht="15.75" thickBot="1">
      <c r="C4" s="129" t="s">
        <v>651</v>
      </c>
      <c r="D4" s="130" t="str">
        <f>NomPlat</f>
        <v>PMM</v>
      </c>
      <c r="H4" s="583" t="s">
        <v>839</v>
      </c>
      <c r="I4" s="584"/>
      <c r="J4" s="584"/>
      <c r="K4" s="584"/>
      <c r="L4" s="584"/>
      <c r="M4" s="584"/>
      <c r="N4" s="584"/>
      <c r="O4" s="584"/>
      <c r="P4" s="584"/>
      <c r="Q4" s="585"/>
      <c r="R4" s="429"/>
      <c r="S4" s="429"/>
      <c r="T4" s="429"/>
      <c r="U4" s="429"/>
      <c r="V4" s="429"/>
      <c r="W4" s="429"/>
      <c r="X4" s="429"/>
      <c r="Y4" s="429"/>
      <c r="Z4" s="429"/>
    </row>
    <row r="5" spans="2:26">
      <c r="C5" s="592" t="s">
        <v>509</v>
      </c>
      <c r="D5" s="104" t="s">
        <v>670</v>
      </c>
      <c r="H5" s="580" t="s">
        <v>828</v>
      </c>
      <c r="I5" s="581"/>
      <c r="J5" s="581"/>
      <c r="K5" s="581"/>
      <c r="L5" s="581"/>
      <c r="M5" s="582"/>
      <c r="N5" s="586" t="s">
        <v>830</v>
      </c>
      <c r="O5" s="587"/>
      <c r="P5" s="587"/>
      <c r="Q5" s="588"/>
      <c r="X5" s="429"/>
      <c r="Z5" s="429"/>
    </row>
    <row r="6" spans="2:26" ht="15.75" thickBot="1">
      <c r="C6" s="593"/>
      <c r="D6" s="374" t="s">
        <v>65</v>
      </c>
      <c r="H6" s="578" t="s">
        <v>837</v>
      </c>
      <c r="I6" s="579"/>
      <c r="J6" s="579" t="s">
        <v>836</v>
      </c>
      <c r="K6" s="579"/>
      <c r="L6" s="579" t="s">
        <v>838</v>
      </c>
      <c r="M6" s="589"/>
      <c r="N6" s="578" t="s">
        <v>831</v>
      </c>
      <c r="O6" s="579"/>
      <c r="P6" s="579" t="s">
        <v>832</v>
      </c>
      <c r="Q6" s="589"/>
      <c r="W6" s="429"/>
      <c r="X6" s="429"/>
    </row>
    <row r="7" spans="2:26" ht="15.75" thickBot="1">
      <c r="B7" s="447">
        <v>1</v>
      </c>
      <c r="C7" s="341" t="s">
        <v>664</v>
      </c>
      <c r="D7" s="375">
        <f ca="1">Arrasto!H87*TQHT</f>
        <v>3.433517665907508</v>
      </c>
      <c r="H7" s="434">
        <f>Orbbaix</f>
        <v>600</v>
      </c>
      <c r="I7" s="435">
        <f>Orbalta</f>
        <v>1200</v>
      </c>
      <c r="J7" s="435">
        <f>Orbbaix</f>
        <v>600</v>
      </c>
      <c r="K7" s="435">
        <f>Orbalta</f>
        <v>1200</v>
      </c>
      <c r="L7" s="435">
        <f>Orbbaix</f>
        <v>600</v>
      </c>
      <c r="M7" s="436">
        <f>Orbalta</f>
        <v>1200</v>
      </c>
      <c r="N7" s="434">
        <f>Orbbaix</f>
        <v>600</v>
      </c>
      <c r="O7" s="435">
        <f>Orbalta</f>
        <v>1200</v>
      </c>
      <c r="P7" s="435">
        <f>Orbbaix</f>
        <v>600</v>
      </c>
      <c r="Q7" s="436">
        <f>Orbalta</f>
        <v>1200</v>
      </c>
      <c r="W7" s="155"/>
      <c r="X7" s="155"/>
    </row>
    <row r="8" spans="2:26">
      <c r="B8" s="448">
        <v>2</v>
      </c>
      <c r="C8" s="118" t="s">
        <v>665</v>
      </c>
      <c r="D8" s="376">
        <f ca="1">Torque!H161*RRHT</f>
        <v>0.740143640844107</v>
      </c>
      <c r="G8" s="341" t="s">
        <v>664</v>
      </c>
      <c r="H8" s="430">
        <f ca="1">((IF(Arrasto!H72="NA",0,Arrasto!H72)+IF(Arrasto!H71="NA",0,Arrasto!H71))*(Qtanks))/(ConfTanks)</f>
        <v>3.4707850819759556</v>
      </c>
      <c r="I8" s="430">
        <f ca="1">((IF(Arrasto!I72="NA",0,Arrasto!I72)+IF(Arrasto!I71="NA",0,Arrasto!I71))*(Qtanks))/(ConfTanks)</f>
        <v>9.4834768254114563E-2</v>
      </c>
      <c r="J8" s="430">
        <f ca="1">((IF(Arrasto!H73="NA",0,Arrasto!H73)+IF(Arrasto!H74="NA",0,Arrasto!H74))*(Qtanks))/(ConfTanks)</f>
        <v>3.4707850819759556</v>
      </c>
      <c r="K8" s="430">
        <f ca="1">((IF(Arrasto!I73="NA",0,Arrasto!I73)+IF(Arrasto!I74="NA",0,Arrasto!I74))*(Qtanks))/(ConfTanks)</f>
        <v>9.4834768254114563E-2</v>
      </c>
      <c r="L8" s="430">
        <f ca="1">((IF(Arrasto!H76="NA",0,Arrasto!H76)+IF(Arrasto!H75="NA",0,Arrasto!H75))*(Qtanks))/(ConfTanks)</f>
        <v>3.4707850819759556</v>
      </c>
      <c r="M8" s="139">
        <f ca="1">((IF(Arrasto!I76="NA",0,Arrasto!I76)+IF(Arrasto!I75="NA",0,Arrasto!I75))*(Qtanks))/(ConfTanks)</f>
        <v>9.4834768254114563E-2</v>
      </c>
      <c r="N8" s="430">
        <f ca="1">((IF(Arrasto!H84="NA",0,Arrasto!H84)+IF(Arrasto!H83="NA",0,Arrasto!H83))*(Qtanks))/(ConfTanks)</f>
        <v>3.4707850819759556</v>
      </c>
      <c r="O8" s="430">
        <f ca="1">((IF(Arrasto!I84="NA",0,Arrasto!I84)+IF(Arrasto!I83="NA",0,Arrasto!I83))*(Qtanks))/(ConfTanks)</f>
        <v>9.4834768254114563E-2</v>
      </c>
      <c r="P8" s="430">
        <f ca="1">((IF(Arrasto!H86="NA",0,Arrasto!H86)+IF(Arrasto!H85="NA",0,Arrasto!H85))*(Qtanks))/(ConfTanks)</f>
        <v>3.4707850819759556</v>
      </c>
      <c r="Q8" s="139">
        <f ca="1">((IF(Arrasto!I86="NA",0,Arrasto!I86)+IF(Arrasto!I85="NA",0,Arrasto!I85))*(Qtanks))/(ConfTanks)</f>
        <v>9.4834768254114563E-2</v>
      </c>
    </row>
    <row r="9" spans="2:26">
      <c r="B9" s="448">
        <v>3</v>
      </c>
      <c r="C9" s="118" t="s">
        <v>666</v>
      </c>
      <c r="D9" s="376">
        <f ca="1">CMagnetico!H130*BMHT</f>
        <v>1.8840025746113691</v>
      </c>
      <c r="G9" s="118" t="s">
        <v>665</v>
      </c>
      <c r="H9" s="210">
        <f ca="1">((IF(Torque!H146="NA",0,Torque!H146)+IF(Torque!H145="NA",0,Torque!H145))*(Qrwh))/(ConfWheels)</f>
        <v>0.38310816577090401</v>
      </c>
      <c r="I9" s="210">
        <f ca="1">((IF(Torque!I146="NA",0,Torque!I146)+IF(Torque!I145="NA",0,Torque!I145))*(Qrwh))/(ConfWheels)</f>
        <v>1.0467941188815529E-2</v>
      </c>
      <c r="J9" s="210">
        <f ca="1">((IF(Torque!H148="NA",0,Torque!H148)+IF(Torque!H147="NA",0,Torque!H147))*(Qrwh))/(ConfWheels)</f>
        <v>0.38310816577090401</v>
      </c>
      <c r="K9" s="210">
        <f ca="1">((IF(Torque!I148="NA",0,Torque!I148)+IF(Torque!I147="NA",0,Torque!I147))*(Qrwh))/(ConfWheels)</f>
        <v>1.0467941188815529E-2</v>
      </c>
      <c r="L9" s="210">
        <f ca="1">((IF(Torque!H150="NA",0,Torque!H150)+IF(Torque!H149="NA",0,Torque!H149))*(Qrwh))/(ConfWheels)</f>
        <v>0.38310816577090401</v>
      </c>
      <c r="M9" s="117">
        <f ca="1">((IF(Torque!I150="NA",0,Torque!I150)+IF(Torque!I149="NA",0,Torque!I149))*(Qrwh))/(ConfWheels)</f>
        <v>1.0467941188815529E-2</v>
      </c>
      <c r="N9" s="210">
        <f ca="1">((IF(Torque!H158="NA",0,Torque!H158)+IF(Torque!H157="NA",0,Torque!H157))*(Qrwh))/(ConfWheels)</f>
        <v>0.38310816577090401</v>
      </c>
      <c r="O9" s="210">
        <f ca="1">((IF(Torque!I158="NA",0,Torque!I158)+IF(Torque!I157="NA",0,Torque!I157))*(Qrwh))/(ConfWheels)</f>
        <v>1.0467941188815529E-2</v>
      </c>
      <c r="P9" s="210">
        <f ca="1">((IF(Torque!H160="NA",0,Torque!H160)+IF(Torque!H159="NA",0,Torque!H159))*(Qrwh))/(ConfWheels)</f>
        <v>0.38310816577090401</v>
      </c>
      <c r="Q9" s="117">
        <f ca="1">((IF(Torque!I160="NA",0,Torque!I160)+IF(Torque!I159="NA",0,Torque!I159))*(Qrwh))/(ConfWheels)</f>
        <v>1.0467941188815529E-2</v>
      </c>
    </row>
    <row r="10" spans="2:26">
      <c r="B10" s="448">
        <v>4</v>
      </c>
      <c r="C10" s="118" t="s">
        <v>856</v>
      </c>
      <c r="D10" s="376">
        <f>Energia!S46*PSHT</f>
        <v>7.5493333333333332</v>
      </c>
      <c r="G10" s="118" t="s">
        <v>666</v>
      </c>
      <c r="H10" s="210">
        <f ca="1">(IF(CMagnetico!H115="NA",0,CMagnetico!H115)+IF(CMagnetico!H114="NA",0,CMagnetico!H11))*(Qtrods)</f>
        <v>1.7722258724219708</v>
      </c>
      <c r="I10" s="210">
        <f ca="1">(IF(CMagnetico!I115="NA",0,CMagnetico!I115)+IF(CMagnetico!I114="NA",0,CMagnetico!I114))*(Qtrods)</f>
        <v>1.23</v>
      </c>
      <c r="J10" s="210">
        <f ca="1">(IF(CMagnetico!H117="NA",0,CMagnetico!H117)+IF(CMagnetico!H116="NA",0,CMagnetico!H116))*(Qtrods)</f>
        <v>3.1140025746113689</v>
      </c>
      <c r="K10" s="210">
        <f ca="1">(IF(CMagnetico!I117="NA",0,CMagnetico!I117)+IF(CMagnetico!I116="NA",0,CMagnetico!I116))*(Qtrods)</f>
        <v>1.23</v>
      </c>
      <c r="L10" s="210">
        <f ca="1">(IF(CMagnetico!H119="NA",0,CMagnetico!H119)+IF(CMagnetico!H118="NA",0,CMagnetico!H118))*(Qtrods)</f>
        <v>1.23</v>
      </c>
      <c r="M10" s="117">
        <f ca="1">(IF(CMagnetico!I119="NA",0,CMagnetico!I119)+IF(CMagnetico!I118="NA",0,CMagnetico!I118))*(Qtrods)</f>
        <v>1.23</v>
      </c>
      <c r="N10" s="210">
        <f ca="1">(IF(CMagnetico!H127="NA",0,CMagnetico!H127)+IF(CMagnetico!H126="NA",0,CMagnetico!H126))*(Qtrods)</f>
        <v>1.23</v>
      </c>
      <c r="O10" s="210">
        <f ca="1">(IF(CMagnetico!I127="NA",0,CMagnetico!I127)+IF(CMagnetico!I126="NA",0,CMagnetico!I126))*(Qtrods)</f>
        <v>1.23</v>
      </c>
      <c r="P10" s="210">
        <f ca="1">(IF(CMagnetico!H129="NA",0,CMagnetico!H129)+IF(CMagnetico!H128="NA",0,CMagnetico!H128))*(Qtrods)</f>
        <v>1.23</v>
      </c>
      <c r="Q10" s="117">
        <f ca="1">(IF(CMagnetico!I129="NA",0,CMagnetico!I129)+IF(CMagnetico!I128="NA",0,CMagnetico!I128))*(Qtrods)</f>
        <v>1.23</v>
      </c>
    </row>
    <row r="11" spans="2:26">
      <c r="B11" s="448">
        <v>5</v>
      </c>
      <c r="C11" s="118" t="s">
        <v>655</v>
      </c>
      <c r="D11" s="376">
        <f>Energia!I57*BaHT</f>
        <v>1.8055418598770689</v>
      </c>
      <c r="G11" s="118" t="s">
        <v>856</v>
      </c>
      <c r="H11" s="210">
        <f>IF(Energia!Q38="NA",0,Energia!Q38)+IF(Energia!W38="NA",0,Energia!W38)</f>
        <v>24.694666666666667</v>
      </c>
      <c r="I11" s="210">
        <f>IF(Energia!R38="NA",0,Energia!R38)+IF(Energia!X38="NA",0,Energia!X38)</f>
        <v>24.694666666666667</v>
      </c>
      <c r="J11" s="210">
        <f>IF(Energia!Q39="NA",0,Energia!Q39)+IF(Energia!W39="NA",0,Energia!W39)</f>
        <v>24.694666666666667</v>
      </c>
      <c r="K11" s="210">
        <f>IF(Energia!R39="NA",0,Energia!R39)+IF(Energia!X39="NA",0,Energia!X39)</f>
        <v>24.694666666666667</v>
      </c>
      <c r="L11" s="210">
        <f>IF(Energia!Q40="NA",0,Energia!Q40)+IF(Energia!W40="NA",0,Energia!W40)</f>
        <v>32.244</v>
      </c>
      <c r="M11" s="117">
        <f>IF(Energia!R40="NA",0,Energia!R40)+IF(Energia!X40="NA",0,Energia!X40)</f>
        <v>24.694666666666667</v>
      </c>
      <c r="N11" s="210">
        <f>IF(Energia!Q44="NA",0,Energia!Q44)+IF(Energia!W44="NA",0,Energia!W44)</f>
        <v>24.694666666666667</v>
      </c>
      <c r="O11" s="210">
        <f>IF(Energia!R44="NA",0,Energia!R44)+IF(Energia!X44="NA",0,Energia!X44)</f>
        <v>24.694666666666667</v>
      </c>
      <c r="P11" s="210">
        <f>IF(Energia!Q45="NA",0,Energia!Q45)+IF(Energia!W45="NA",0,Energia!W45)</f>
        <v>24.694666666666667</v>
      </c>
      <c r="Q11" s="117">
        <f>IF(Energia!R45="NA",0,Energia!R45)+IF(Energia!X45="NA",0,Energia!X45)</f>
        <v>24.694666666666667</v>
      </c>
    </row>
    <row r="12" spans="2:26" s="155" customFormat="1">
      <c r="B12" s="448">
        <v>6</v>
      </c>
      <c r="C12" s="118" t="s">
        <v>667</v>
      </c>
      <c r="D12" s="376">
        <f>+Lançadores!E28*ESHT</f>
        <v>7.2939119872940719</v>
      </c>
      <c r="G12" s="118" t="s">
        <v>655</v>
      </c>
      <c r="H12" s="210">
        <f>Energia!G52</f>
        <v>9.8819999999999997</v>
      </c>
      <c r="I12" s="210">
        <f>Energia!H52</f>
        <v>9.6419999999999995</v>
      </c>
      <c r="J12" s="210">
        <f>Energia!G53</f>
        <v>9.8566516171187821</v>
      </c>
      <c r="K12" s="210">
        <f>Energia!H53</f>
        <v>9.6873202419887008</v>
      </c>
      <c r="L12" s="210">
        <f>Energia!G54</f>
        <v>10.804841859877069</v>
      </c>
      <c r="M12" s="117">
        <f>Energia!H54</f>
        <v>9.6840199531213713</v>
      </c>
      <c r="N12" s="210">
        <f>Energia!G55</f>
        <v>10.439300000000001</v>
      </c>
      <c r="O12" s="210">
        <f>Energia!H55</f>
        <v>8.9992999999999999</v>
      </c>
      <c r="P12" s="210">
        <f>Energia!G56</f>
        <v>9.6860876523092276</v>
      </c>
      <c r="Q12" s="117">
        <f>Energia!H56</f>
        <v>9.3821206824701626</v>
      </c>
    </row>
    <row r="13" spans="2:26" ht="15.75" thickBot="1">
      <c r="B13" s="448">
        <v>7</v>
      </c>
      <c r="C13" s="119" t="s">
        <v>791</v>
      </c>
      <c r="D13" s="377">
        <f ca="1">Radiação!D36*CEE</f>
        <v>6.6669840000000002</v>
      </c>
      <c r="G13" s="118" t="s">
        <v>823</v>
      </c>
      <c r="H13" s="210">
        <f ca="1">FReB*Radiação!C30</f>
        <v>0</v>
      </c>
      <c r="I13" s="210">
        <f ca="1">FReB*Radiação!D30</f>
        <v>0</v>
      </c>
      <c r="J13" s="210">
        <f ca="1">FReB*Radiação!C31</f>
        <v>0</v>
      </c>
      <c r="K13" s="210">
        <f ca="1">FReB*Radiação!D31</f>
        <v>0</v>
      </c>
      <c r="L13" s="210">
        <f ca="1">FReB*Radiação!C32</f>
        <v>0</v>
      </c>
      <c r="M13" s="117">
        <f ca="1">FReB*Radiação!D32</f>
        <v>6.6669840000000002</v>
      </c>
      <c r="N13" s="210">
        <f ca="1">FReB*Radiação!C33</f>
        <v>0</v>
      </c>
      <c r="O13" s="210">
        <f ca="1">FReB*Radiação!D33</f>
        <v>2.7185760000000001</v>
      </c>
      <c r="P13" s="210">
        <f ca="1">FReB*Radiação!C34</f>
        <v>0</v>
      </c>
      <c r="Q13" s="117">
        <f ca="1">FReB*Radiação!D34</f>
        <v>4.69278</v>
      </c>
    </row>
    <row r="14" spans="2:26" ht="15.75" thickBot="1">
      <c r="B14" s="448">
        <v>8</v>
      </c>
      <c r="C14" s="471" t="s">
        <v>789</v>
      </c>
      <c r="D14" s="378">
        <f ca="1">SUM(D7:D12)</f>
        <v>22.706451061867458</v>
      </c>
      <c r="G14" s="119" t="s">
        <v>667</v>
      </c>
      <c r="H14" s="212">
        <f>Lançadores!D30</f>
        <v>16.428960429690868</v>
      </c>
      <c r="I14" s="212">
        <f>Lançadores!D30</f>
        <v>16.428960429690868</v>
      </c>
      <c r="J14" s="212">
        <f>Lançadores!D30</f>
        <v>16.428960429690868</v>
      </c>
      <c r="K14" s="212">
        <f>Lançadores!D30</f>
        <v>16.428960429690868</v>
      </c>
      <c r="L14" s="212">
        <f>Lançadores!D30</f>
        <v>16.428960429690868</v>
      </c>
      <c r="M14" s="121">
        <f>Lançadores!D30</f>
        <v>16.428960429690868</v>
      </c>
      <c r="N14" s="212">
        <f>Lançadores!D30</f>
        <v>16.428960429690868</v>
      </c>
      <c r="O14" s="212">
        <f>Lançadores!D30</f>
        <v>16.428960429690868</v>
      </c>
      <c r="P14" s="212">
        <f>Lançadores!D30</f>
        <v>16.428960429690868</v>
      </c>
      <c r="Q14" s="121">
        <f>Lançadores!D30</f>
        <v>16.428960429690868</v>
      </c>
    </row>
    <row r="15" spans="2:26" s="155" customFormat="1" ht="15.75" thickBot="1">
      <c r="B15" s="448">
        <v>9</v>
      </c>
      <c r="C15" s="472" t="s">
        <v>790</v>
      </c>
      <c r="D15" s="379">
        <f ca="1">SUM(D13:D14)</f>
        <v>29.373435061867458</v>
      </c>
      <c r="G15" s="431" t="s">
        <v>651</v>
      </c>
      <c r="H15" s="432">
        <f ca="1">SUM(H8:H14)</f>
        <v>56.631746216526366</v>
      </c>
      <c r="I15" s="432">
        <f t="shared" ref="I15:M15" ca="1" si="0">SUM(I8:I14)</f>
        <v>52.100929805800469</v>
      </c>
      <c r="J15" s="432">
        <f t="shared" ca="1" si="0"/>
        <v>57.948174535834546</v>
      </c>
      <c r="K15" s="432">
        <f t="shared" ca="1" si="0"/>
        <v>52.146250047789167</v>
      </c>
      <c r="L15" s="432">
        <f t="shared" ca="1" si="0"/>
        <v>64.56169553731479</v>
      </c>
      <c r="M15" s="433">
        <f t="shared" ca="1" si="0"/>
        <v>58.809933758921836</v>
      </c>
      <c r="N15" s="444">
        <f ca="1">SUM(N8:N14)</f>
        <v>56.646820344104398</v>
      </c>
      <c r="O15" s="432">
        <f ca="1">SUM(O8:O14)</f>
        <v>54.176805805800463</v>
      </c>
      <c r="P15" s="432">
        <f ca="1">SUM(P8:P14)</f>
        <v>55.893607996413621</v>
      </c>
      <c r="Q15" s="433">
        <f ca="1">SUM(Q8:Q14)</f>
        <v>56.533830488270631</v>
      </c>
    </row>
    <row r="16" spans="2:26" s="155" customFormat="1" ht="15.75" thickBot="1">
      <c r="B16" s="448">
        <v>10</v>
      </c>
      <c r="C16" s="472" t="s">
        <v>669</v>
      </c>
      <c r="D16" s="211">
        <f>mp</f>
        <v>295</v>
      </c>
      <c r="Q16"/>
    </row>
    <row r="17" spans="2:13" ht="15.75" thickBot="1">
      <c r="B17" s="448">
        <v>11</v>
      </c>
      <c r="C17" s="470" t="s">
        <v>668</v>
      </c>
      <c r="D17" s="380">
        <f>m</f>
        <v>557</v>
      </c>
      <c r="H17" s="583" t="s">
        <v>840</v>
      </c>
      <c r="I17" s="584"/>
      <c r="J17" s="584"/>
      <c r="K17" s="584"/>
      <c r="L17" s="584"/>
      <c r="M17" s="585"/>
    </row>
    <row r="18" spans="2:13">
      <c r="B18" s="448">
        <v>12</v>
      </c>
      <c r="C18" s="471" t="s">
        <v>792</v>
      </c>
      <c r="D18" s="381">
        <f ca="1">D14/D16</f>
        <v>7.6971020548703251E-2</v>
      </c>
      <c r="G18" s="155"/>
      <c r="H18" s="604" t="s">
        <v>829</v>
      </c>
      <c r="I18" s="605"/>
      <c r="J18" s="605"/>
      <c r="K18" s="605"/>
      <c r="L18" s="605"/>
      <c r="M18" s="606"/>
    </row>
    <row r="19" spans="2:13">
      <c r="B19" s="448">
        <v>13</v>
      </c>
      <c r="C19" s="472" t="s">
        <v>793</v>
      </c>
      <c r="D19" s="382">
        <f ca="1">D14/D17</f>
        <v>4.0765621295991844E-2</v>
      </c>
      <c r="G19" s="155"/>
      <c r="H19" s="601" t="s">
        <v>837</v>
      </c>
      <c r="I19" s="600"/>
      <c r="J19" s="590" t="s">
        <v>836</v>
      </c>
      <c r="K19" s="600"/>
      <c r="L19" s="590" t="s">
        <v>838</v>
      </c>
      <c r="M19" s="591"/>
    </row>
    <row r="20" spans="2:13" s="155" customFormat="1" ht="15.75" thickBot="1">
      <c r="B20" s="448">
        <v>14</v>
      </c>
      <c r="C20" s="472" t="s">
        <v>794</v>
      </c>
      <c r="D20" s="382">
        <f ca="1">D15/D16</f>
        <v>9.9570966311415113E-2</v>
      </c>
      <c r="H20" s="434">
        <f>Orbbaix</f>
        <v>600</v>
      </c>
      <c r="I20" s="435">
        <f>Orbalta</f>
        <v>1200</v>
      </c>
      <c r="J20" s="435">
        <f>Orbbaix</f>
        <v>600</v>
      </c>
      <c r="K20" s="435">
        <f>Orbalta</f>
        <v>1200</v>
      </c>
      <c r="L20" s="435">
        <f>Orbbaix</f>
        <v>600</v>
      </c>
      <c r="M20" s="436">
        <f>Orbalta</f>
        <v>1200</v>
      </c>
    </row>
    <row r="21" spans="2:13" ht="15.75" thickBot="1">
      <c r="B21" s="448">
        <v>15</v>
      </c>
      <c r="C21" s="464" t="s">
        <v>795</v>
      </c>
      <c r="D21" s="446">
        <f ca="1">D15/D17</f>
        <v>5.2735071924358091E-2</v>
      </c>
      <c r="G21" s="341" t="s">
        <v>664</v>
      </c>
      <c r="H21" s="430">
        <f ca="1">((IF(Arrasto!H78="NA",0,Arrasto!H78)+IF(Arrasto!H77="NA",0,Arrasto!H77))*(Qtanks))/(ConfTanks)</f>
        <v>1.3867087452869982</v>
      </c>
      <c r="I21" s="430">
        <f ca="1">((IF(Arrasto!I78="NA",0,Arrasto!I78)+IF(Arrasto!I77="NA",0,Arrasto!I77))*(Qtanks))/(ConfTanks)</f>
        <v>3.7890044871455253E-2</v>
      </c>
      <c r="J21" s="430">
        <f ca="1">((IF(Arrasto!H80="NA",0,Arrasto!H80)+IF(Arrasto!H79="NA",0,Arrasto!H79))*(Qtanks))/(ConfTanks)</f>
        <v>1.3736558257189082</v>
      </c>
      <c r="K21" s="430">
        <f ca="1">((+IF(Arrasto!I80="NA",0,Arrasto!I80)+IF(Arrasto!I79="NA",0,Arrasto!I79))*(Qtanks))/(ConfTanks)</f>
        <v>3.753339052004992E-2</v>
      </c>
      <c r="L21" s="430">
        <f ca="1">((IF(Arrasto!H82="NA",0,Arrasto!H82)+IF(Arrasto!H81="NA",0,Arrasto!H81))*(Qtanks))/(ConfTanks)</f>
        <v>1.3639216303831336</v>
      </c>
      <c r="M21" s="139">
        <f ca="1">((IF(Arrasto!I82="NA",0,Arrasto!I82)+IF(Arrasto!I81="NA",0,Arrasto!I81))*(Qtanks))/(ConfTanks)</f>
        <v>3.7267416068447488E-2</v>
      </c>
    </row>
    <row r="22" spans="2:13">
      <c r="B22" s="448">
        <v>16</v>
      </c>
      <c r="C22" s="465" t="s">
        <v>844</v>
      </c>
      <c r="D22" s="139">
        <f ca="1">I44</f>
        <v>28.720070871720083</v>
      </c>
      <c r="G22" s="118" t="s">
        <v>665</v>
      </c>
      <c r="H22" s="210">
        <f ca="1">((IF(Torque!H152="NA",0,Torque!H152)+IF(Torque!H151="NA",0,Torque!H151))*(Qrwh))/(ConfWheels)</f>
        <v>0.75061158203292255</v>
      </c>
      <c r="I22" s="210">
        <f ca="1">((IF(Torque!I152="NA",0,Torque!I152)+IF(Torque!I151="NA",0,Torque!I151))*(Qrwh))/(ConfWheels)</f>
        <v>2.0509502533190744E-2</v>
      </c>
      <c r="J22" s="210">
        <f ca="1">((IF(Torque!H154="NA",0,Torque!H154)+IF(Torque!H153="NA",0,Torque!H153))*(Qrwh))/(ConfWheels)</f>
        <v>0.72579689057269592</v>
      </c>
      <c r="K22" s="210">
        <f ca="1">((IF(Torque!I154="NA",0,Torque!I154)+IF(Torque!I153="NA",0,Torque!I153))*(Qrwh))/(ConfWheels)</f>
        <v>1.9831472791116311E-2</v>
      </c>
      <c r="L22" s="210">
        <f ca="1">((IF(Torque!H156="NA",0,Torque!H156)+IF(Torque!H155="NA",0,Torque!H155))*(Qrwh))/(ConfWheels)</f>
        <v>0.70366763630480522</v>
      </c>
      <c r="M22" s="117">
        <f ca="1">((IF(Torque!I156="NA",0,Torque!I156)+IF(Torque!I155="NA",0,Torque!I155))*(Qrwh))/(ConfWheels)</f>
        <v>1.9226819189534901E-2</v>
      </c>
    </row>
    <row r="23" spans="2:13">
      <c r="B23" s="448">
        <v>17</v>
      </c>
      <c r="C23" s="466" t="s">
        <v>845</v>
      </c>
      <c r="D23" s="382">
        <f ca="1">D22/D16</f>
        <v>9.7356172446508751E-2</v>
      </c>
      <c r="G23" s="118" t="s">
        <v>666</v>
      </c>
      <c r="H23" s="210">
        <f ca="1">(IF(CMagnetico!H121="NA",0,CMagnetico!H121)+IF(CMagnetico!H120="NA",0,CMagnetico!H120))*(Qtrods)</f>
        <v>1.23</v>
      </c>
      <c r="I23" s="210">
        <f ca="1">(IF(CMagnetico!I121="NA",0,CMagnetico!I121)+IF(CMagnetico!I120="NA",0,CMagnetico!I120))*(Qtrods)</f>
        <v>1.23</v>
      </c>
      <c r="J23" s="210">
        <f ca="1">(IF(CMagnetico!H123="NA",0,CMagnetico!H123)+IF(CMagnetico!H122="NA",0,CMagnetico!H122))*(Qtrods)</f>
        <v>1.23</v>
      </c>
      <c r="K23" s="210">
        <f ca="1">(IF(CMagnetico!I123="NA",0,CMagnetico!I123)+IF(CMagnetico!I122="NA",0,CMagnetico!I122))*(Qtrods)</f>
        <v>1.23</v>
      </c>
      <c r="L23" s="210">
        <f ca="1">(IF(CMagnetico!H125="NA",0,CMagnetico!H125)+IF(CMagnetico!H124="NA",0,CMagnetico!H124))*(Qtrods)</f>
        <v>1.23</v>
      </c>
      <c r="M23" s="117">
        <f ca="1">(IF(CMagnetico!I125="NA",0,CMagnetico!I125)+IF(CMagnetico!I124="NA",0,CMagnetico!I124))*(Qtrods)</f>
        <v>1.23</v>
      </c>
    </row>
    <row r="24" spans="2:13" ht="15.75" thickBot="1">
      <c r="B24" s="449">
        <v>18</v>
      </c>
      <c r="C24" s="467" t="s">
        <v>846</v>
      </c>
      <c r="D24" s="383">
        <f ca="1">D22/D17</f>
        <v>5.1562066196983988E-2</v>
      </c>
      <c r="G24" s="118" t="s">
        <v>856</v>
      </c>
      <c r="H24" s="210">
        <f>IF(Energia!Q41="NA",0,Energia!R41)+IF(Energia!W41="NA",0,Energia!X41)</f>
        <v>17.954666666666668</v>
      </c>
      <c r="I24" s="210">
        <f>IF(Energia!R41="NA",0,Energia!R41)+IF(Energia!X41="NA",0,Energia!X41)</f>
        <v>17.954666666666668</v>
      </c>
      <c r="J24" s="210">
        <f>IF(Energia!Q42="NA",0,Energia!Q42)+IF(Energia!W42="NA",0,Energia!W42)</f>
        <v>17.954666666666668</v>
      </c>
      <c r="K24" s="210">
        <f>IF(Energia!R42="NA",0,Energia!R42)+IF(Energia!X42="NA",0,Energia!X42)</f>
        <v>17.954666666666668</v>
      </c>
      <c r="L24" s="210">
        <f>IF(Energia!Q43="NA",0,Energia!Q43)+IF(Energia!W43="NA",0,Energia!W43)</f>
        <v>17.954666666666668</v>
      </c>
      <c r="M24" s="117">
        <f>IF(Energia!R43="NA",0,Energia!R43)+IF(Energia!X43="NA",0,Energia!X43)</f>
        <v>17.954666666666668</v>
      </c>
    </row>
    <row r="25" spans="2:13">
      <c r="G25" s="118" t="s">
        <v>655</v>
      </c>
      <c r="H25" s="210">
        <f>Energia!G52</f>
        <v>9.8819999999999997</v>
      </c>
      <c r="I25" s="210">
        <f>Energia!H52</f>
        <v>9.6419999999999995</v>
      </c>
      <c r="J25" s="210">
        <f>Energia!G53</f>
        <v>9.8566516171187821</v>
      </c>
      <c r="K25" s="210">
        <f>Energia!H53</f>
        <v>9.6873202419887008</v>
      </c>
      <c r="L25" s="210">
        <f>Energia!G54</f>
        <v>10.804841859877069</v>
      </c>
      <c r="M25" s="117">
        <f>Energia!H54</f>
        <v>9.6840199531213713</v>
      </c>
    </row>
    <row r="26" spans="2:13">
      <c r="G26" s="118" t="s">
        <v>823</v>
      </c>
      <c r="H26" s="210">
        <f ca="1">FReB*Radiação!C30</f>
        <v>0</v>
      </c>
      <c r="I26" s="210">
        <f ca="1">FReB*Radiação!D30</f>
        <v>0</v>
      </c>
      <c r="J26" s="210">
        <f ca="1">FReB*Radiação!C31</f>
        <v>0</v>
      </c>
      <c r="K26" s="210">
        <f ca="1">FReB*Radiação!D31</f>
        <v>0</v>
      </c>
      <c r="L26" s="210">
        <f ca="1">FReB*Radiação!C32</f>
        <v>0</v>
      </c>
      <c r="M26" s="117">
        <f ca="1">FReB*Radiação!D32</f>
        <v>6.6669840000000002</v>
      </c>
    </row>
    <row r="27" spans="2:13" ht="15.75" thickBot="1">
      <c r="G27" s="119" t="s">
        <v>667</v>
      </c>
      <c r="H27" s="212">
        <f>Lançadores!D30</f>
        <v>16.428960429690868</v>
      </c>
      <c r="I27" s="212">
        <f>Lançadores!D30</f>
        <v>16.428960429690868</v>
      </c>
      <c r="J27" s="212">
        <f>Lançadores!D30</f>
        <v>16.428960429690868</v>
      </c>
      <c r="K27" s="212">
        <f>Lançadores!D30</f>
        <v>16.428960429690868</v>
      </c>
      <c r="L27" s="212">
        <f>Lançadores!D30</f>
        <v>16.428960429690868</v>
      </c>
      <c r="M27" s="121">
        <f>Lançadores!D30</f>
        <v>16.428960429690868</v>
      </c>
    </row>
    <row r="28" spans="2:13" ht="15.75" thickBot="1">
      <c r="G28" s="431" t="s">
        <v>651</v>
      </c>
      <c r="H28" s="432">
        <f t="shared" ref="H28:M28" ca="1" si="1">SUM(H21:H27)</f>
        <v>47.632947423677457</v>
      </c>
      <c r="I28" s="432">
        <f t="shared" ca="1" si="1"/>
        <v>45.314026643762176</v>
      </c>
      <c r="J28" s="432">
        <f t="shared" ca="1" si="1"/>
        <v>47.569731429767927</v>
      </c>
      <c r="K28" s="432">
        <f t="shared" ca="1" si="1"/>
        <v>45.358312201657398</v>
      </c>
      <c r="L28" s="432">
        <f t="shared" ca="1" si="1"/>
        <v>48.486058222922544</v>
      </c>
      <c r="M28" s="433">
        <f t="shared" ca="1" si="1"/>
        <v>52.02112528473689</v>
      </c>
    </row>
    <row r="29" spans="2:13" ht="15.75" thickBot="1"/>
    <row r="30" spans="2:13">
      <c r="G30" s="598" t="s">
        <v>841</v>
      </c>
      <c r="H30" s="599"/>
      <c r="I30" s="437">
        <f ca="1">MIN(H15,I15,J15,K15,L15,M15,N15,O15,P15,Q15)</f>
        <v>52.100929805800469</v>
      </c>
      <c r="J30" s="438" t="s">
        <v>1</v>
      </c>
    </row>
    <row r="31" spans="2:13">
      <c r="G31" s="602" t="s">
        <v>842</v>
      </c>
      <c r="H31" s="603"/>
      <c r="I31" s="443">
        <f ca="1">MIN(H28,I28,J28,K28,L28,M28)</f>
        <v>45.314026643762176</v>
      </c>
      <c r="J31" s="445" t="s">
        <v>1</v>
      </c>
    </row>
    <row r="32" spans="2:13" s="155" customFormat="1" ht="15.75" thickBot="1">
      <c r="G32" s="594" t="s">
        <v>843</v>
      </c>
      <c r="H32" s="595"/>
      <c r="I32" s="439">
        <f ca="1">I31+(Energia!Q47-Energia!Q46)</f>
        <v>52.054026643762171</v>
      </c>
      <c r="J32" s="440" t="s">
        <v>1</v>
      </c>
    </row>
    <row r="33" spans="7:11" s="155" customFormat="1" ht="15.75" thickBot="1">
      <c r="G33" s="441"/>
      <c r="H33" s="441"/>
      <c r="I33" s="442"/>
      <c r="J33" s="442"/>
    </row>
    <row r="34" spans="7:11" ht="15.75" thickBot="1">
      <c r="G34" s="596" t="s">
        <v>835</v>
      </c>
      <c r="H34" s="597"/>
    </row>
    <row r="35" spans="7:11">
      <c r="G35" s="341" t="s">
        <v>664</v>
      </c>
      <c r="H35" s="139">
        <f ca="1">Arrasto!B87*(Qtanks)</f>
        <v>3.4707850819759556</v>
      </c>
    </row>
    <row r="36" spans="7:11">
      <c r="G36" s="118" t="s">
        <v>665</v>
      </c>
      <c r="H36" s="117">
        <f ca="1">Torque!B161*(Qrwh)</f>
        <v>0.75061158203292255</v>
      </c>
    </row>
    <row r="37" spans="7:11">
      <c r="G37" s="118" t="s">
        <v>666</v>
      </c>
      <c r="H37" s="117">
        <f ca="1">CMagnetico!B130*(Qtrods)</f>
        <v>3.1140025746113689</v>
      </c>
    </row>
    <row r="38" spans="7:11">
      <c r="G38" s="118" t="s">
        <v>856</v>
      </c>
      <c r="H38" s="117">
        <f>Energia!O46</f>
        <v>32.244</v>
      </c>
    </row>
    <row r="39" spans="7:11">
      <c r="G39" s="118" t="s">
        <v>655</v>
      </c>
      <c r="H39" s="117">
        <f>Energia!C57</f>
        <v>10.804841859877069</v>
      </c>
    </row>
    <row r="40" spans="7:11">
      <c r="G40" s="118" t="s">
        <v>823</v>
      </c>
      <c r="H40" s="117">
        <f ca="1">Radiação!B35</f>
        <v>6.6669840000000002</v>
      </c>
      <c r="K40" s="15"/>
    </row>
    <row r="41" spans="7:11" ht="15.75" thickBot="1">
      <c r="G41" s="119" t="s">
        <v>667</v>
      </c>
      <c r="H41" s="121">
        <f>Lançadores!D29</f>
        <v>23.722872416984941</v>
      </c>
    </row>
    <row r="42" spans="7:11" ht="15.75" thickBot="1">
      <c r="G42" s="431" t="s">
        <v>651</v>
      </c>
      <c r="H42" s="433">
        <f ca="1">SUM(H35:H41)</f>
        <v>80.774097515482254</v>
      </c>
    </row>
    <row r="43" spans="7:11">
      <c r="G43" s="598" t="s">
        <v>833</v>
      </c>
      <c r="H43" s="599"/>
      <c r="I43" s="437">
        <f ca="1">H42</f>
        <v>80.774097515482254</v>
      </c>
      <c r="J43" s="438" t="s">
        <v>1</v>
      </c>
    </row>
    <row r="44" spans="7:11" ht="15.75" thickBot="1">
      <c r="G44" s="594" t="s">
        <v>834</v>
      </c>
      <c r="H44" s="595"/>
      <c r="I44" s="439">
        <f ca="1">I43-IF(Sadaspre=0,MIN(I30,I32),MIN(I30:I32))</f>
        <v>28.720070871720083</v>
      </c>
      <c r="J44" s="440" t="s">
        <v>1</v>
      </c>
    </row>
  </sheetData>
  <sheetProtection password="CAF5" sheet="1" objects="1" scenarios="1"/>
  <mergeCells count="20">
    <mergeCell ref="L19:M19"/>
    <mergeCell ref="C5:C6"/>
    <mergeCell ref="G44:H44"/>
    <mergeCell ref="G34:H34"/>
    <mergeCell ref="G30:H30"/>
    <mergeCell ref="G43:H43"/>
    <mergeCell ref="J19:K19"/>
    <mergeCell ref="H19:I19"/>
    <mergeCell ref="H17:M17"/>
    <mergeCell ref="G31:H31"/>
    <mergeCell ref="G32:H32"/>
    <mergeCell ref="H18:M18"/>
    <mergeCell ref="J6:K6"/>
    <mergeCell ref="L6:M6"/>
    <mergeCell ref="N6:O6"/>
    <mergeCell ref="H6:I6"/>
    <mergeCell ref="H5:M5"/>
    <mergeCell ref="H4:Q4"/>
    <mergeCell ref="N5:Q5"/>
    <mergeCell ref="P6:Q6"/>
  </mergeCell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F148"/>
  <sheetViews>
    <sheetView topLeftCell="A31" zoomScale="130" zoomScaleNormal="130" zoomScalePageLayoutView="130" workbookViewId="0">
      <selection activeCell="C59" sqref="C59"/>
    </sheetView>
  </sheetViews>
  <sheetFormatPr defaultColWidth="8.85546875" defaultRowHeight="15"/>
  <cols>
    <col min="1" max="1" width="41.7109375" customWidth="1"/>
    <col min="2" max="2" width="14.140625" bestFit="1" customWidth="1"/>
    <col min="3" max="3" width="7.7109375" customWidth="1"/>
    <col min="5" max="5" width="8.85546875" style="155"/>
    <col min="6" max="6" width="76.28515625" customWidth="1"/>
  </cols>
  <sheetData>
    <row r="1" spans="1:6">
      <c r="A1" s="5" t="s">
        <v>17</v>
      </c>
      <c r="B1" s="5" t="s">
        <v>16</v>
      </c>
      <c r="C1" s="5" t="s">
        <v>15</v>
      </c>
      <c r="D1" s="5" t="s">
        <v>14</v>
      </c>
      <c r="E1" s="5" t="s">
        <v>848</v>
      </c>
      <c r="F1" s="5" t="s">
        <v>10</v>
      </c>
    </row>
    <row r="2" spans="1:6">
      <c r="A2" t="s">
        <v>0</v>
      </c>
      <c r="B2" s="3" t="s">
        <v>6</v>
      </c>
      <c r="C2" s="559">
        <f>C3</f>
        <v>4348.1520999607183</v>
      </c>
      <c r="D2" t="s">
        <v>3</v>
      </c>
      <c r="E2" s="155">
        <v>1000</v>
      </c>
      <c r="F2" t="s">
        <v>900</v>
      </c>
    </row>
    <row r="3" spans="1:6">
      <c r="A3" t="s">
        <v>753</v>
      </c>
      <c r="B3" s="3"/>
      <c r="C3" s="559">
        <f>2*SQRT(8*dmax*(600000+ER)*aponto/3)</f>
        <v>4348.1520999607183</v>
      </c>
      <c r="D3" t="s">
        <v>3</v>
      </c>
      <c r="F3" s="155" t="s">
        <v>899</v>
      </c>
    </row>
    <row r="4" spans="1:6">
      <c r="A4" t="s">
        <v>748</v>
      </c>
      <c r="B4" s="3" t="s">
        <v>750</v>
      </c>
      <c r="C4" s="559">
        <f>10*60</f>
        <v>600</v>
      </c>
      <c r="D4" t="s">
        <v>22</v>
      </c>
      <c r="F4" t="s">
        <v>749</v>
      </c>
    </row>
    <row r="5" spans="1:6">
      <c r="A5" t="s">
        <v>752</v>
      </c>
      <c r="B5" s="3" t="s">
        <v>751</v>
      </c>
      <c r="C5" s="559">
        <f>0.000000000000364*Cd*(AxP+2*(Aps_y+APS_my)/PI())*SQRT(u*(600000+ER))/m</f>
        <v>4.233404846329216E-4</v>
      </c>
      <c r="F5" t="s">
        <v>754</v>
      </c>
    </row>
    <row r="6" spans="1:6">
      <c r="A6" t="s">
        <v>755</v>
      </c>
      <c r="B6" s="3" t="s">
        <v>756</v>
      </c>
      <c r="C6" s="559">
        <v>1</v>
      </c>
      <c r="E6" s="155">
        <v>1</v>
      </c>
      <c r="F6" t="s">
        <v>901</v>
      </c>
    </row>
    <row r="7" spans="1:6" s="155" customFormat="1" ht="18">
      <c r="A7" t="s">
        <v>2</v>
      </c>
      <c r="B7" t="s">
        <v>7</v>
      </c>
      <c r="C7" s="559">
        <v>2.5</v>
      </c>
      <c r="D7" t="s">
        <v>13</v>
      </c>
      <c r="E7" s="155">
        <v>2.2000000000000002</v>
      </c>
      <c r="F7" t="s">
        <v>902</v>
      </c>
    </row>
    <row r="8" spans="1:6">
      <c r="A8" t="s">
        <v>543</v>
      </c>
      <c r="B8" t="s">
        <v>3</v>
      </c>
      <c r="C8" s="559">
        <f>557</f>
        <v>557</v>
      </c>
      <c r="D8" t="s">
        <v>1</v>
      </c>
      <c r="E8" s="155">
        <v>500</v>
      </c>
      <c r="F8" t="s">
        <v>903</v>
      </c>
    </row>
    <row r="9" spans="1:6">
      <c r="A9" t="s">
        <v>510</v>
      </c>
      <c r="B9" t="s">
        <v>511</v>
      </c>
      <c r="C9" s="559">
        <v>295</v>
      </c>
      <c r="D9" t="s">
        <v>1</v>
      </c>
      <c r="E9" s="155">
        <v>200</v>
      </c>
      <c r="F9" t="s">
        <v>510</v>
      </c>
    </row>
    <row r="10" spans="1:6" ht="17.25">
      <c r="A10" t="s">
        <v>692</v>
      </c>
      <c r="B10" t="s">
        <v>693</v>
      </c>
      <c r="C10" s="570">
        <f>(3.1)*(0.4535924)/(0.02831685)</f>
        <v>49.657233767173963</v>
      </c>
      <c r="D10" t="s">
        <v>861</v>
      </c>
      <c r="E10" s="155">
        <v>50</v>
      </c>
      <c r="F10" t="s">
        <v>818</v>
      </c>
    </row>
    <row r="11" spans="1:6">
      <c r="A11" t="s">
        <v>625</v>
      </c>
      <c r="B11" s="157" t="s">
        <v>627</v>
      </c>
      <c r="C11" s="559">
        <v>7.4</v>
      </c>
      <c r="D11" s="157" t="s">
        <v>1</v>
      </c>
      <c r="E11" s="157"/>
      <c r="F11" s="157" t="s">
        <v>908</v>
      </c>
    </row>
    <row r="12" spans="1:6">
      <c r="A12" t="s">
        <v>583</v>
      </c>
      <c r="B12" t="s">
        <v>582</v>
      </c>
      <c r="C12" s="559">
        <v>2.5</v>
      </c>
      <c r="D12" t="s">
        <v>1</v>
      </c>
      <c r="F12" t="s">
        <v>904</v>
      </c>
    </row>
    <row r="13" spans="1:6">
      <c r="A13" t="s">
        <v>544</v>
      </c>
      <c r="B13" t="s">
        <v>589</v>
      </c>
      <c r="C13" s="559">
        <f>2+6.2+0.7</f>
        <v>8.8999999999999986</v>
      </c>
      <c r="D13" t="s">
        <v>1</v>
      </c>
      <c r="F13" s="148" t="s">
        <v>907</v>
      </c>
    </row>
    <row r="14" spans="1:6">
      <c r="A14" t="s">
        <v>552</v>
      </c>
      <c r="B14" t="s">
        <v>590</v>
      </c>
      <c r="C14" s="559">
        <v>4.0000000000000002E-4</v>
      </c>
      <c r="D14" t="s">
        <v>3</v>
      </c>
      <c r="F14" t="s">
        <v>905</v>
      </c>
    </row>
    <row r="15" spans="1:6">
      <c r="A15" t="s">
        <v>554</v>
      </c>
      <c r="B15" t="s">
        <v>591</v>
      </c>
      <c r="C15" s="559">
        <v>0.02</v>
      </c>
      <c r="D15" t="s">
        <v>3</v>
      </c>
    </row>
    <row r="16" spans="1:6">
      <c r="A16" t="s">
        <v>584</v>
      </c>
      <c r="B16" t="s">
        <v>592</v>
      </c>
      <c r="C16" s="559">
        <v>8.1</v>
      </c>
      <c r="D16" t="s">
        <v>1</v>
      </c>
      <c r="F16" s="148" t="s">
        <v>906</v>
      </c>
    </row>
    <row r="17" spans="1:6">
      <c r="A17" t="s">
        <v>545</v>
      </c>
      <c r="B17" t="s">
        <v>593</v>
      </c>
      <c r="C17" s="559">
        <f>3+3+19.2+0.3+7.3+14.5+40-MEsi</f>
        <v>35.799999999999997</v>
      </c>
      <c r="D17" t="s">
        <v>1</v>
      </c>
      <c r="F17" t="s">
        <v>714</v>
      </c>
    </row>
    <row r="18" spans="1:6">
      <c r="A18" t="s">
        <v>553</v>
      </c>
      <c r="B18" t="s">
        <v>594</v>
      </c>
      <c r="C18" s="559">
        <v>8.0000000000000004E-4</v>
      </c>
      <c r="D18" t="s">
        <v>3</v>
      </c>
    </row>
    <row r="19" spans="1:6">
      <c r="A19" t="s">
        <v>555</v>
      </c>
      <c r="B19" t="s">
        <v>595</v>
      </c>
      <c r="C19" s="559">
        <v>0.06</v>
      </c>
      <c r="D19" t="s">
        <v>3</v>
      </c>
    </row>
    <row r="20" spans="1:6">
      <c r="A20" t="s">
        <v>585</v>
      </c>
      <c r="B20" t="s">
        <v>596</v>
      </c>
      <c r="C20" s="559">
        <v>5.6</v>
      </c>
      <c r="D20" t="s">
        <v>1</v>
      </c>
      <c r="F20" t="s">
        <v>626</v>
      </c>
    </row>
    <row r="21" spans="1:6" ht="30">
      <c r="A21" t="s">
        <v>546</v>
      </c>
      <c r="B21" t="s">
        <v>597</v>
      </c>
      <c r="C21" s="559">
        <f>0.75+19.2+3.6+1.5+1.1+24+8+4</f>
        <v>62.150000000000006</v>
      </c>
      <c r="D21" t="s">
        <v>1</v>
      </c>
      <c r="F21" s="148" t="s">
        <v>715</v>
      </c>
    </row>
    <row r="22" spans="1:6">
      <c r="A22" t="s">
        <v>586</v>
      </c>
      <c r="B22" t="s">
        <v>598</v>
      </c>
      <c r="C22" s="559">
        <v>5.6</v>
      </c>
      <c r="D22" t="s">
        <v>1</v>
      </c>
    </row>
    <row r="23" spans="1:6">
      <c r="A23" t="s">
        <v>547</v>
      </c>
      <c r="B23" t="s">
        <v>599</v>
      </c>
      <c r="C23" s="559">
        <f>0.75+19.2+18.8+3.6+1.5+4.2+0.6+4</f>
        <v>52.650000000000006</v>
      </c>
      <c r="D23" t="s">
        <v>1</v>
      </c>
      <c r="F23" t="s">
        <v>626</v>
      </c>
    </row>
    <row r="24" spans="1:6">
      <c r="A24" t="s">
        <v>587</v>
      </c>
      <c r="B24" t="s">
        <v>600</v>
      </c>
      <c r="C24" s="559">
        <v>5.6</v>
      </c>
      <c r="D24" t="s">
        <v>1</v>
      </c>
      <c r="F24" s="148" t="s">
        <v>913</v>
      </c>
    </row>
    <row r="25" spans="1:6">
      <c r="A25" t="s">
        <v>548</v>
      </c>
      <c r="B25" t="s">
        <v>601</v>
      </c>
      <c r="C25" s="559">
        <f>1.5+4.7+4</f>
        <v>10.199999999999999</v>
      </c>
      <c r="D25" t="s">
        <v>1</v>
      </c>
      <c r="F25" t="s">
        <v>626</v>
      </c>
    </row>
    <row r="26" spans="1:6">
      <c r="A26" t="s">
        <v>588</v>
      </c>
      <c r="B26" t="s">
        <v>602</v>
      </c>
      <c r="C26" s="559">
        <v>5.6</v>
      </c>
      <c r="D26" t="s">
        <v>1</v>
      </c>
      <c r="F26" s="148"/>
    </row>
    <row r="27" spans="1:6">
      <c r="A27" t="s">
        <v>549</v>
      </c>
      <c r="B27" t="s">
        <v>603</v>
      </c>
      <c r="C27" s="559">
        <f>15.2+2.5+2.2+3</f>
        <v>22.9</v>
      </c>
      <c r="D27" t="s">
        <v>1</v>
      </c>
      <c r="F27" t="s">
        <v>626</v>
      </c>
    </row>
    <row r="28" spans="1:6">
      <c r="A28" t="s">
        <v>604</v>
      </c>
      <c r="B28" t="s">
        <v>606</v>
      </c>
      <c r="C28" s="559">
        <v>5.9999999999999995E-4</v>
      </c>
      <c r="D28" t="s">
        <v>3</v>
      </c>
    </row>
    <row r="29" spans="1:6">
      <c r="A29" t="s">
        <v>605</v>
      </c>
      <c r="B29" t="s">
        <v>607</v>
      </c>
      <c r="C29" s="559">
        <v>2.5000000000000001E-2</v>
      </c>
      <c r="D29" t="s">
        <v>3</v>
      </c>
    </row>
    <row r="30" spans="1:6">
      <c r="A30" t="s">
        <v>550</v>
      </c>
      <c r="B30" t="s">
        <v>609</v>
      </c>
      <c r="C30" s="559">
        <v>9.9</v>
      </c>
      <c r="D30" t="s">
        <v>1</v>
      </c>
      <c r="F30" s="148"/>
    </row>
    <row r="31" spans="1:6">
      <c r="A31" t="s">
        <v>551</v>
      </c>
      <c r="B31" t="s">
        <v>608</v>
      </c>
      <c r="C31" s="559">
        <f>45+6.5</f>
        <v>51.5</v>
      </c>
      <c r="D31" t="s">
        <v>1</v>
      </c>
      <c r="F31" s="148"/>
    </row>
    <row r="32" spans="1:6">
      <c r="A32" t="s">
        <v>628</v>
      </c>
      <c r="B32" t="s">
        <v>629</v>
      </c>
      <c r="C32" s="559">
        <v>1</v>
      </c>
      <c r="F32" t="s">
        <v>630</v>
      </c>
    </row>
    <row r="33" spans="1:6">
      <c r="A33" t="s">
        <v>573</v>
      </c>
      <c r="B33" t="s">
        <v>578</v>
      </c>
      <c r="C33" s="559">
        <v>1</v>
      </c>
      <c r="F33" t="s">
        <v>909</v>
      </c>
    </row>
    <row r="34" spans="1:6">
      <c r="A34" t="s">
        <v>574</v>
      </c>
      <c r="B34" t="s">
        <v>579</v>
      </c>
      <c r="C34" s="559">
        <v>1</v>
      </c>
      <c r="F34" s="155" t="s">
        <v>909</v>
      </c>
    </row>
    <row r="35" spans="1:6">
      <c r="A35" t="s">
        <v>575</v>
      </c>
      <c r="B35" t="s">
        <v>580</v>
      </c>
      <c r="C35" s="559">
        <v>1</v>
      </c>
      <c r="F35" s="155" t="s">
        <v>909</v>
      </c>
    </row>
    <row r="36" spans="1:6">
      <c r="A36" t="s">
        <v>576</v>
      </c>
      <c r="B36" t="s">
        <v>633</v>
      </c>
      <c r="C36" s="559">
        <v>0</v>
      </c>
      <c r="F36" s="155" t="s">
        <v>909</v>
      </c>
    </row>
    <row r="37" spans="1:6">
      <c r="A37" t="s">
        <v>577</v>
      </c>
      <c r="B37" t="s">
        <v>581</v>
      </c>
      <c r="C37" s="559">
        <v>1</v>
      </c>
      <c r="F37" s="155" t="s">
        <v>909</v>
      </c>
    </row>
    <row r="38" spans="1:6" ht="17.25">
      <c r="A38" t="s">
        <v>643</v>
      </c>
      <c r="B38" t="s">
        <v>646</v>
      </c>
      <c r="C38" s="559">
        <f>0.95*0.95</f>
        <v>0.90249999999999997</v>
      </c>
      <c r="D38" t="s">
        <v>462</v>
      </c>
    </row>
    <row r="39" spans="1:6" ht="17.25">
      <c r="A39" t="s">
        <v>644</v>
      </c>
      <c r="B39" t="s">
        <v>647</v>
      </c>
      <c r="C39" s="559">
        <f>0.95*1</f>
        <v>0.95</v>
      </c>
      <c r="D39" t="s">
        <v>462</v>
      </c>
    </row>
    <row r="40" spans="1:6" ht="17.25">
      <c r="A40" t="s">
        <v>645</v>
      </c>
      <c r="B40" t="s">
        <v>648</v>
      </c>
      <c r="C40" s="559">
        <f>0.95*1</f>
        <v>0.95</v>
      </c>
      <c r="D40" t="s">
        <v>462</v>
      </c>
    </row>
    <row r="41" spans="1:6" ht="17.25">
      <c r="A41" t="s">
        <v>37</v>
      </c>
      <c r="B41" t="s">
        <v>34</v>
      </c>
      <c r="C41" s="559">
        <f>0.95*0.95</f>
        <v>0.90249999999999997</v>
      </c>
      <c r="D41" t="s">
        <v>462</v>
      </c>
    </row>
    <row r="42" spans="1:6" ht="17.25">
      <c r="A42" t="s">
        <v>38</v>
      </c>
      <c r="B42" t="s">
        <v>35</v>
      </c>
      <c r="C42" s="559">
        <f>0.95*(0.135+1+1.22)</f>
        <v>2.23725</v>
      </c>
      <c r="D42" t="s">
        <v>462</v>
      </c>
    </row>
    <row r="43" spans="1:6" ht="17.25">
      <c r="A43" t="s">
        <v>39</v>
      </c>
      <c r="B43" t="s">
        <v>36</v>
      </c>
      <c r="C43" s="559">
        <f>0.95*(0.135+1+1.22)</f>
        <v>2.23725</v>
      </c>
      <c r="D43" t="s">
        <v>462</v>
      </c>
    </row>
    <row r="44" spans="1:6">
      <c r="A44" t="s">
        <v>671</v>
      </c>
      <c r="B44" t="s">
        <v>21</v>
      </c>
      <c r="C44" s="559">
        <v>220</v>
      </c>
      <c r="D44" t="s">
        <v>22</v>
      </c>
      <c r="F44" s="157"/>
    </row>
    <row r="45" spans="1:6" ht="17.25">
      <c r="A45" t="s">
        <v>475</v>
      </c>
      <c r="B45" t="s">
        <v>49</v>
      </c>
      <c r="C45" s="559">
        <v>3.15</v>
      </c>
      <c r="D45" t="s">
        <v>462</v>
      </c>
    </row>
    <row r="46" spans="1:6" ht="17.25">
      <c r="A46" t="s">
        <v>476</v>
      </c>
      <c r="B46" t="s">
        <v>48</v>
      </c>
      <c r="C46" s="559">
        <v>3.15</v>
      </c>
      <c r="D46" t="s">
        <v>462</v>
      </c>
    </row>
    <row r="47" spans="1:6">
      <c r="A47" s="7" t="s">
        <v>68</v>
      </c>
      <c r="B47" t="s">
        <v>69</v>
      </c>
      <c r="C47" s="559">
        <v>4</v>
      </c>
      <c r="D47" t="s">
        <v>70</v>
      </c>
      <c r="E47" s="155">
        <v>2</v>
      </c>
    </row>
    <row r="48" spans="1:6" s="155" customFormat="1">
      <c r="A48" s="7" t="s">
        <v>914</v>
      </c>
      <c r="B48" s="155" t="s">
        <v>896</v>
      </c>
      <c r="C48" s="559">
        <v>1</v>
      </c>
      <c r="E48" s="155">
        <v>1</v>
      </c>
    </row>
    <row r="49" spans="1:6">
      <c r="A49" t="s">
        <v>915</v>
      </c>
      <c r="B49" t="s">
        <v>530</v>
      </c>
      <c r="C49" s="559">
        <v>1</v>
      </c>
      <c r="E49" s="155">
        <v>1</v>
      </c>
      <c r="F49" s="2"/>
    </row>
    <row r="50" spans="1:6">
      <c r="A50" t="s">
        <v>73</v>
      </c>
      <c r="B50" t="s">
        <v>72</v>
      </c>
      <c r="C50" s="571">
        <v>0</v>
      </c>
      <c r="E50" s="450">
        <v>0</v>
      </c>
      <c r="F50" s="2" t="s">
        <v>722</v>
      </c>
    </row>
    <row r="51" spans="1:6">
      <c r="A51" t="s">
        <v>131</v>
      </c>
      <c r="B51" t="s">
        <v>122</v>
      </c>
      <c r="C51" s="572">
        <v>3</v>
      </c>
      <c r="E51" s="155">
        <v>1</v>
      </c>
      <c r="F51" s="2" t="s">
        <v>132</v>
      </c>
    </row>
    <row r="52" spans="1:6">
      <c r="A52" t="s">
        <v>123</v>
      </c>
      <c r="B52" t="s">
        <v>124</v>
      </c>
      <c r="C52" s="571">
        <v>0</v>
      </c>
      <c r="E52" s="450">
        <v>0</v>
      </c>
      <c r="F52" s="2" t="s">
        <v>721</v>
      </c>
    </row>
    <row r="53" spans="1:6">
      <c r="A53" t="s">
        <v>916</v>
      </c>
      <c r="B53" t="s">
        <v>505</v>
      </c>
      <c r="C53" s="573">
        <v>4</v>
      </c>
      <c r="E53" s="155">
        <v>3</v>
      </c>
      <c r="F53" s="150" t="s">
        <v>897</v>
      </c>
    </row>
    <row r="54" spans="1:6">
      <c r="A54" t="s">
        <v>917</v>
      </c>
      <c r="B54" t="s">
        <v>506</v>
      </c>
      <c r="C54" s="573">
        <v>3</v>
      </c>
      <c r="E54" s="81">
        <v>3</v>
      </c>
      <c r="F54" s="150" t="s">
        <v>898</v>
      </c>
    </row>
    <row r="55" spans="1:6">
      <c r="A55" t="s">
        <v>672</v>
      </c>
      <c r="B55" t="s">
        <v>684</v>
      </c>
      <c r="C55" s="573">
        <v>1</v>
      </c>
      <c r="E55" s="155">
        <v>1</v>
      </c>
      <c r="F55" s="2" t="s">
        <v>681</v>
      </c>
    </row>
    <row r="56" spans="1:6">
      <c r="A56" t="s">
        <v>673</v>
      </c>
      <c r="B56" t="s">
        <v>677</v>
      </c>
      <c r="C56" s="573">
        <v>1</v>
      </c>
      <c r="E56" s="155">
        <v>1</v>
      </c>
      <c r="F56" s="2" t="s">
        <v>681</v>
      </c>
    </row>
    <row r="57" spans="1:6">
      <c r="A57" t="s">
        <v>674</v>
      </c>
      <c r="B57" t="s">
        <v>678</v>
      </c>
      <c r="C57" s="573">
        <v>1</v>
      </c>
      <c r="E57" s="155">
        <v>1</v>
      </c>
      <c r="F57" s="2" t="s">
        <v>681</v>
      </c>
    </row>
    <row r="58" spans="1:6">
      <c r="A58" t="s">
        <v>675</v>
      </c>
      <c r="B58" t="s">
        <v>679</v>
      </c>
      <c r="C58" s="573">
        <v>1</v>
      </c>
      <c r="E58" s="155">
        <v>1</v>
      </c>
      <c r="F58" s="2" t="s">
        <v>681</v>
      </c>
    </row>
    <row r="59" spans="1:6">
      <c r="A59" t="s">
        <v>676</v>
      </c>
      <c r="B59" t="s">
        <v>680</v>
      </c>
      <c r="C59" s="573">
        <v>1</v>
      </c>
      <c r="E59" s="155">
        <v>1</v>
      </c>
      <c r="F59" s="2" t="s">
        <v>681</v>
      </c>
    </row>
    <row r="60" spans="1:6">
      <c r="A60" t="s">
        <v>682</v>
      </c>
      <c r="B60" t="s">
        <v>683</v>
      </c>
      <c r="C60" s="573">
        <v>1</v>
      </c>
      <c r="E60" s="155">
        <v>1</v>
      </c>
      <c r="F60" s="2" t="s">
        <v>681</v>
      </c>
    </row>
    <row r="61" spans="1:6">
      <c r="A61" t="s">
        <v>685</v>
      </c>
      <c r="B61" t="s">
        <v>686</v>
      </c>
      <c r="C61" s="573">
        <v>1</v>
      </c>
      <c r="E61" s="155">
        <v>1</v>
      </c>
      <c r="F61" s="2" t="s">
        <v>687</v>
      </c>
    </row>
    <row r="62" spans="1:6">
      <c r="A62" t="s">
        <v>447</v>
      </c>
      <c r="B62" s="32" t="s">
        <v>910</v>
      </c>
      <c r="C62" s="557"/>
      <c r="D62" s="32"/>
      <c r="E62" s="157"/>
      <c r="F62" s="90"/>
    </row>
    <row r="63" spans="1:6">
      <c r="A63" s="4" t="s">
        <v>448</v>
      </c>
      <c r="B63" t="s">
        <v>451</v>
      </c>
      <c r="C63" s="556"/>
      <c r="F63" s="2"/>
    </row>
    <row r="64" spans="1:6">
      <c r="A64" s="4" t="s">
        <v>449</v>
      </c>
      <c r="B64" t="s">
        <v>452</v>
      </c>
      <c r="C64" s="556"/>
      <c r="F64" s="2"/>
    </row>
    <row r="65" spans="1:6">
      <c r="A65" s="4" t="s">
        <v>450</v>
      </c>
      <c r="B65" t="s">
        <v>453</v>
      </c>
      <c r="C65" s="556"/>
      <c r="F65" s="2"/>
    </row>
    <row r="66" spans="1:6">
      <c r="A66" s="7" t="s">
        <v>148</v>
      </c>
      <c r="C66" s="555"/>
    </row>
    <row r="67" spans="1:6">
      <c r="A67" s="4" t="s">
        <v>27</v>
      </c>
      <c r="B67" t="s">
        <v>80</v>
      </c>
      <c r="C67" s="559">
        <f>1.04807-0.1356</f>
        <v>0.91247000000000011</v>
      </c>
      <c r="D67" t="s">
        <v>3</v>
      </c>
      <c r="F67" s="149"/>
    </row>
    <row r="68" spans="1:6">
      <c r="A68" s="4" t="s">
        <v>28</v>
      </c>
      <c r="B68" t="s">
        <v>81</v>
      </c>
      <c r="C68" s="559">
        <v>-0.03</v>
      </c>
      <c r="D68" t="s">
        <v>3</v>
      </c>
      <c r="F68" s="149"/>
    </row>
    <row r="69" spans="1:6">
      <c r="A69" s="4" t="s">
        <v>29</v>
      </c>
      <c r="B69" t="s">
        <v>82</v>
      </c>
      <c r="C69" s="559">
        <v>-0.03</v>
      </c>
      <c r="D69" t="s">
        <v>3</v>
      </c>
      <c r="F69" s="149"/>
    </row>
    <row r="70" spans="1:6">
      <c r="A70" t="s">
        <v>457</v>
      </c>
      <c r="C70" s="559"/>
    </row>
    <row r="71" spans="1:6">
      <c r="A71" s="4" t="s">
        <v>27</v>
      </c>
      <c r="B71" s="32" t="s">
        <v>83</v>
      </c>
      <c r="C71" s="574">
        <f>1.22+1</f>
        <v>2.2199999999999998</v>
      </c>
      <c r="D71" t="s">
        <v>3</v>
      </c>
      <c r="F71" t="s">
        <v>777</v>
      </c>
    </row>
    <row r="72" spans="1:6">
      <c r="A72" s="4" t="s">
        <v>28</v>
      </c>
      <c r="B72" s="32" t="s">
        <v>84</v>
      </c>
      <c r="C72" s="574">
        <v>0</v>
      </c>
      <c r="D72" t="s">
        <v>3</v>
      </c>
    </row>
    <row r="73" spans="1:6">
      <c r="A73" s="4" t="s">
        <v>29</v>
      </c>
      <c r="B73" s="32" t="s">
        <v>85</v>
      </c>
      <c r="C73" s="574">
        <v>0</v>
      </c>
      <c r="D73" t="s">
        <v>3</v>
      </c>
    </row>
    <row r="74" spans="1:6">
      <c r="A74" s="7" t="s">
        <v>460</v>
      </c>
      <c r="C74" s="559"/>
      <c r="F74" t="s">
        <v>153</v>
      </c>
    </row>
    <row r="75" spans="1:6">
      <c r="A75" s="4" t="s">
        <v>27</v>
      </c>
      <c r="B75" s="32" t="s">
        <v>98</v>
      </c>
      <c r="C75" s="574">
        <v>0.9</v>
      </c>
      <c r="D75" t="s">
        <v>3</v>
      </c>
    </row>
    <row r="76" spans="1:6">
      <c r="A76" s="4" t="s">
        <v>28</v>
      </c>
      <c r="B76" s="32" t="s">
        <v>99</v>
      </c>
      <c r="C76" s="574">
        <f>3.639-(1.5)*0.735-0.074</f>
        <v>2.4624999999999999</v>
      </c>
      <c r="D76" t="s">
        <v>3</v>
      </c>
    </row>
    <row r="77" spans="1:6">
      <c r="A77" s="4" t="s">
        <v>29</v>
      </c>
      <c r="B77" s="32" t="s">
        <v>100</v>
      </c>
      <c r="C77" s="574">
        <v>0</v>
      </c>
      <c r="D77" t="s">
        <v>3</v>
      </c>
    </row>
    <row r="78" spans="1:6">
      <c r="A78" s="7" t="s">
        <v>461</v>
      </c>
      <c r="C78" s="559"/>
    </row>
    <row r="79" spans="1:6">
      <c r="A79" s="4" t="s">
        <v>27</v>
      </c>
      <c r="B79" s="32" t="s">
        <v>101</v>
      </c>
      <c r="C79" s="574">
        <v>0.9</v>
      </c>
      <c r="D79" t="s">
        <v>3</v>
      </c>
    </row>
    <row r="80" spans="1:6">
      <c r="A80" s="4" t="s">
        <v>28</v>
      </c>
      <c r="B80" s="32" t="s">
        <v>102</v>
      </c>
      <c r="C80" s="574">
        <f>-(3.639-(1.5)*0.735-0.074)</f>
        <v>-2.4624999999999999</v>
      </c>
      <c r="D80" t="s">
        <v>3</v>
      </c>
      <c r="F80" s="155"/>
    </row>
    <row r="81" spans="1:6">
      <c r="A81" s="4" t="s">
        <v>29</v>
      </c>
      <c r="B81" s="32" t="s">
        <v>103</v>
      </c>
      <c r="C81" s="559">
        <v>0</v>
      </c>
      <c r="D81" t="s">
        <v>3</v>
      </c>
    </row>
    <row r="82" spans="1:6">
      <c r="A82" s="7" t="s">
        <v>311</v>
      </c>
      <c r="B82" t="s">
        <v>315</v>
      </c>
      <c r="C82" s="559">
        <v>530</v>
      </c>
      <c r="D82" t="s">
        <v>319</v>
      </c>
      <c r="E82" s="155">
        <v>500</v>
      </c>
      <c r="F82" t="s">
        <v>314</v>
      </c>
    </row>
    <row r="83" spans="1:6">
      <c r="A83" s="7" t="s">
        <v>312</v>
      </c>
      <c r="B83" t="s">
        <v>316</v>
      </c>
      <c r="C83" s="571">
        <v>0.97</v>
      </c>
      <c r="E83" s="89">
        <v>0.97</v>
      </c>
      <c r="F83" t="s">
        <v>314</v>
      </c>
    </row>
    <row r="84" spans="1:6">
      <c r="A84" s="7" t="s">
        <v>313</v>
      </c>
      <c r="B84" t="s">
        <v>317</v>
      </c>
      <c r="C84" s="571">
        <v>0.97</v>
      </c>
      <c r="E84" s="89">
        <v>0.97</v>
      </c>
      <c r="F84" t="s">
        <v>314</v>
      </c>
    </row>
    <row r="85" spans="1:6">
      <c r="A85" s="7" t="s">
        <v>496</v>
      </c>
      <c r="B85" t="s">
        <v>318</v>
      </c>
      <c r="C85" s="575">
        <v>0.24099999999999999</v>
      </c>
      <c r="E85" s="450">
        <v>0.28000000000000003</v>
      </c>
      <c r="F85" t="s">
        <v>314</v>
      </c>
    </row>
    <row r="86" spans="1:6" ht="17.25">
      <c r="A86" s="7" t="s">
        <v>539</v>
      </c>
      <c r="B86" t="s">
        <v>540</v>
      </c>
      <c r="C86" s="576">
        <v>5.91</v>
      </c>
      <c r="D86" t="s">
        <v>462</v>
      </c>
    </row>
    <row r="87" spans="1:6" ht="17.25">
      <c r="A87" s="7" t="s">
        <v>531</v>
      </c>
      <c r="B87" t="s">
        <v>532</v>
      </c>
      <c r="C87" s="570">
        <f>AuWing/ConfSAG</f>
        <v>0.98499999999999999</v>
      </c>
      <c r="D87" t="s">
        <v>462</v>
      </c>
      <c r="E87" s="155">
        <v>1</v>
      </c>
      <c r="F87" t="s">
        <v>538</v>
      </c>
    </row>
    <row r="88" spans="1:6">
      <c r="A88" s="7" t="s">
        <v>458</v>
      </c>
      <c r="B88" t="s">
        <v>459</v>
      </c>
      <c r="C88" s="575">
        <v>0.4</v>
      </c>
      <c r="E88" s="450">
        <v>0.3</v>
      </c>
    </row>
    <row r="89" spans="1:6">
      <c r="A89" s="7" t="s">
        <v>320</v>
      </c>
      <c r="B89" t="s">
        <v>321</v>
      </c>
      <c r="C89" s="559">
        <v>22</v>
      </c>
      <c r="D89" t="s">
        <v>322</v>
      </c>
      <c r="E89" s="450">
        <v>0.28000000000000003</v>
      </c>
    </row>
    <row r="90" spans="1:6">
      <c r="A90" s="7" t="s">
        <v>335</v>
      </c>
      <c r="B90" t="s">
        <v>333</v>
      </c>
      <c r="C90" s="571">
        <v>0</v>
      </c>
      <c r="E90" s="450">
        <v>0</v>
      </c>
    </row>
    <row r="91" spans="1:6">
      <c r="A91" s="7" t="s">
        <v>334</v>
      </c>
      <c r="B91" t="s">
        <v>336</v>
      </c>
      <c r="C91" s="571">
        <v>0</v>
      </c>
      <c r="E91" s="450">
        <v>0</v>
      </c>
    </row>
    <row r="92" spans="1:6">
      <c r="A92" s="7" t="s">
        <v>478</v>
      </c>
      <c r="B92" t="s">
        <v>477</v>
      </c>
      <c r="C92" s="571">
        <f>+(100-14.3)%</f>
        <v>0.85699999999999998</v>
      </c>
      <c r="E92" s="89">
        <v>0.85</v>
      </c>
    </row>
    <row r="93" spans="1:6">
      <c r="A93" s="7" t="s">
        <v>820</v>
      </c>
      <c r="B93" t="s">
        <v>821</v>
      </c>
      <c r="C93" s="577">
        <v>1</v>
      </c>
      <c r="E93" s="85">
        <v>1</v>
      </c>
      <c r="F93" t="s">
        <v>822</v>
      </c>
    </row>
    <row r="94" spans="1:6">
      <c r="A94" s="7" t="s">
        <v>357</v>
      </c>
      <c r="B94" t="s">
        <v>356</v>
      </c>
      <c r="C94" s="573">
        <v>20</v>
      </c>
      <c r="D94" s="157" t="s">
        <v>918</v>
      </c>
      <c r="E94" s="81">
        <v>20</v>
      </c>
      <c r="F94" s="155" t="s">
        <v>911</v>
      </c>
    </row>
    <row r="95" spans="1:6">
      <c r="A95" s="25" t="s">
        <v>403</v>
      </c>
      <c r="B95" t="s">
        <v>406</v>
      </c>
      <c r="C95" s="573">
        <v>30</v>
      </c>
      <c r="D95" s="157" t="s">
        <v>918</v>
      </c>
      <c r="E95" s="81">
        <v>30</v>
      </c>
      <c r="F95" s="155" t="s">
        <v>919</v>
      </c>
    </row>
    <row r="96" spans="1:6">
      <c r="A96" s="7" t="s">
        <v>358</v>
      </c>
      <c r="B96" t="s">
        <v>359</v>
      </c>
      <c r="C96" s="571">
        <v>1</v>
      </c>
      <c r="E96" s="10">
        <v>1</v>
      </c>
      <c r="F96" t="s">
        <v>775</v>
      </c>
    </row>
    <row r="97" spans="1:6">
      <c r="A97" s="7" t="s">
        <v>360</v>
      </c>
      <c r="B97" t="s">
        <v>362</v>
      </c>
      <c r="C97" s="559">
        <v>0</v>
      </c>
      <c r="D97" t="s">
        <v>363</v>
      </c>
      <c r="E97" s="155">
        <v>1</v>
      </c>
      <c r="F97" s="155" t="s">
        <v>787</v>
      </c>
    </row>
    <row r="98" spans="1:6">
      <c r="A98" s="7" t="s">
        <v>402</v>
      </c>
      <c r="B98" t="s">
        <v>361</v>
      </c>
      <c r="C98" s="559">
        <v>4</v>
      </c>
      <c r="D98" t="s">
        <v>363</v>
      </c>
      <c r="E98" s="155">
        <v>4</v>
      </c>
    </row>
    <row r="99" spans="1:6" s="155" customFormat="1">
      <c r="A99" s="7" t="s">
        <v>785</v>
      </c>
      <c r="B99" s="155" t="s">
        <v>786</v>
      </c>
      <c r="C99" s="559">
        <v>4</v>
      </c>
      <c r="D99" s="155" t="s">
        <v>363</v>
      </c>
      <c r="E99" s="155">
        <v>4</v>
      </c>
    </row>
    <row r="100" spans="1:6">
      <c r="A100" s="82" t="s">
        <v>513</v>
      </c>
      <c r="C100" s="559"/>
    </row>
    <row r="101" spans="1:6" ht="17.25">
      <c r="A101" s="7" t="s">
        <v>398</v>
      </c>
      <c r="B101" t="s">
        <v>419</v>
      </c>
      <c r="C101" s="559">
        <f>2*(20*6)</f>
        <v>240</v>
      </c>
      <c r="D101" t="s">
        <v>912</v>
      </c>
      <c r="E101" s="155">
        <f>2*(20*6)</f>
        <v>240</v>
      </c>
      <c r="F101" t="s">
        <v>706</v>
      </c>
    </row>
    <row r="102" spans="1:6" ht="17.25">
      <c r="A102" s="7" t="s">
        <v>399</v>
      </c>
      <c r="B102" t="s">
        <v>420</v>
      </c>
      <c r="C102" s="559">
        <f>2*(15*15)</f>
        <v>450</v>
      </c>
      <c r="D102" s="155" t="s">
        <v>912</v>
      </c>
      <c r="E102" s="155">
        <f>2*(15*15)</f>
        <v>450</v>
      </c>
      <c r="F102" t="s">
        <v>707</v>
      </c>
    </row>
    <row r="103" spans="1:6" ht="17.25">
      <c r="A103" s="7" t="s">
        <v>400</v>
      </c>
      <c r="B103" t="s">
        <v>421</v>
      </c>
      <c r="C103" s="559">
        <f>2*(15*15)</f>
        <v>450</v>
      </c>
      <c r="D103" s="155" t="s">
        <v>912</v>
      </c>
      <c r="E103" s="155">
        <f>2*(15*15)</f>
        <v>450</v>
      </c>
      <c r="F103" t="s">
        <v>708</v>
      </c>
    </row>
    <row r="104" spans="1:6">
      <c r="A104" s="144" t="s">
        <v>411</v>
      </c>
      <c r="B104" s="32"/>
      <c r="C104" s="559"/>
    </row>
    <row r="105" spans="1:6">
      <c r="A105" s="145" t="s">
        <v>398</v>
      </c>
      <c r="B105" s="32" t="s">
        <v>412</v>
      </c>
      <c r="C105" s="559">
        <v>4</v>
      </c>
      <c r="E105" s="157">
        <v>4</v>
      </c>
    </row>
    <row r="106" spans="1:6">
      <c r="A106" s="145" t="s">
        <v>399</v>
      </c>
      <c r="B106" s="32" t="s">
        <v>413</v>
      </c>
      <c r="C106" s="559">
        <v>4</v>
      </c>
      <c r="E106" s="157">
        <v>4</v>
      </c>
    </row>
    <row r="107" spans="1:6">
      <c r="A107" s="145" t="s">
        <v>400</v>
      </c>
      <c r="B107" s="32" t="s">
        <v>414</v>
      </c>
      <c r="C107" s="559">
        <v>2</v>
      </c>
      <c r="E107" s="157">
        <v>4</v>
      </c>
    </row>
    <row r="108" spans="1:6">
      <c r="A108" s="82" t="s">
        <v>512</v>
      </c>
      <c r="C108" s="559"/>
    </row>
    <row r="109" spans="1:6" ht="17.25">
      <c r="A109" s="7" t="s">
        <v>398</v>
      </c>
      <c r="B109" t="s">
        <v>422</v>
      </c>
      <c r="C109" s="559">
        <f>2*(20*6)</f>
        <v>240</v>
      </c>
      <c r="D109" s="155" t="s">
        <v>912</v>
      </c>
      <c r="E109" s="155">
        <v>250</v>
      </c>
      <c r="F109" t="s">
        <v>709</v>
      </c>
    </row>
    <row r="110" spans="1:6" ht="17.25">
      <c r="A110" s="7" t="s">
        <v>399</v>
      </c>
      <c r="B110" t="s">
        <v>423</v>
      </c>
      <c r="C110" s="559">
        <f>2*(15*15)</f>
        <v>450</v>
      </c>
      <c r="D110" s="155" t="s">
        <v>912</v>
      </c>
      <c r="E110" s="155">
        <v>450</v>
      </c>
      <c r="F110" t="s">
        <v>710</v>
      </c>
    </row>
    <row r="111" spans="1:6" ht="17.25">
      <c r="A111" s="7" t="s">
        <v>400</v>
      </c>
      <c r="B111" t="s">
        <v>424</v>
      </c>
      <c r="C111" s="559">
        <f>2*(15*15)</f>
        <v>450</v>
      </c>
      <c r="D111" s="155" t="s">
        <v>912</v>
      </c>
      <c r="E111" s="155">
        <v>450</v>
      </c>
      <c r="F111" t="s">
        <v>708</v>
      </c>
    </row>
    <row r="112" spans="1:6">
      <c r="A112" s="144" t="s">
        <v>436</v>
      </c>
      <c r="B112" s="32"/>
      <c r="C112" s="559"/>
    </row>
    <row r="113" spans="1:6">
      <c r="A113" s="145" t="s">
        <v>398</v>
      </c>
      <c r="B113" s="32" t="s">
        <v>415</v>
      </c>
      <c r="C113" s="559">
        <v>4</v>
      </c>
      <c r="E113" s="155">
        <v>4</v>
      </c>
      <c r="F113" t="s">
        <v>817</v>
      </c>
    </row>
    <row r="114" spans="1:6">
      <c r="A114" s="145" t="s">
        <v>399</v>
      </c>
      <c r="B114" s="32" t="s">
        <v>416</v>
      </c>
      <c r="C114" s="559">
        <v>4</v>
      </c>
      <c r="E114" s="155">
        <v>4</v>
      </c>
      <c r="F114" s="155" t="s">
        <v>817</v>
      </c>
    </row>
    <row r="115" spans="1:6">
      <c r="A115" s="145" t="s">
        <v>400</v>
      </c>
      <c r="B115" s="32" t="s">
        <v>417</v>
      </c>
      <c r="C115" s="559">
        <v>0</v>
      </c>
      <c r="E115" s="155">
        <v>2</v>
      </c>
      <c r="F115" s="155" t="s">
        <v>817</v>
      </c>
    </row>
    <row r="116" spans="1:6">
      <c r="A116" s="7" t="s">
        <v>404</v>
      </c>
      <c r="B116" t="s">
        <v>405</v>
      </c>
      <c r="C116" s="559">
        <v>2697</v>
      </c>
      <c r="D116" t="s">
        <v>4</v>
      </c>
      <c r="E116" s="155">
        <v>2697</v>
      </c>
    </row>
    <row r="117" spans="1:6">
      <c r="A117" s="82" t="s">
        <v>364</v>
      </c>
      <c r="C117" s="559"/>
    </row>
    <row r="118" spans="1:6">
      <c r="A118" s="4" t="s">
        <v>365</v>
      </c>
      <c r="B118" t="s">
        <v>380</v>
      </c>
      <c r="C118" s="559">
        <v>1</v>
      </c>
      <c r="F118" t="s">
        <v>392</v>
      </c>
    </row>
    <row r="119" spans="1:6">
      <c r="A119" s="4" t="s">
        <v>366</v>
      </c>
      <c r="B119" t="s">
        <v>381</v>
      </c>
      <c r="C119" s="559">
        <v>1</v>
      </c>
      <c r="F119" t="s">
        <v>392</v>
      </c>
    </row>
    <row r="120" spans="1:6">
      <c r="A120" s="4" t="s">
        <v>367</v>
      </c>
      <c r="B120" t="s">
        <v>382</v>
      </c>
      <c r="C120" s="559">
        <v>1</v>
      </c>
      <c r="F120" t="s">
        <v>392</v>
      </c>
    </row>
    <row r="121" spans="1:6">
      <c r="A121" s="4" t="s">
        <v>368</v>
      </c>
      <c r="B121" t="s">
        <v>383</v>
      </c>
      <c r="C121" s="559">
        <v>1</v>
      </c>
      <c r="F121" t="s">
        <v>392</v>
      </c>
    </row>
    <row r="122" spans="1:6">
      <c r="A122" s="4" t="s">
        <v>369</v>
      </c>
      <c r="B122" t="s">
        <v>384</v>
      </c>
      <c r="C122" s="559">
        <v>1</v>
      </c>
      <c r="F122" t="s">
        <v>392</v>
      </c>
    </row>
    <row r="123" spans="1:6">
      <c r="A123" s="4" t="s">
        <v>370</v>
      </c>
      <c r="B123" t="s">
        <v>385</v>
      </c>
      <c r="C123" s="559">
        <v>1</v>
      </c>
      <c r="F123" t="s">
        <v>392</v>
      </c>
    </row>
    <row r="124" spans="1:6">
      <c r="A124" s="4" t="s">
        <v>371</v>
      </c>
      <c r="B124" t="s">
        <v>386</v>
      </c>
      <c r="C124" s="559">
        <v>1</v>
      </c>
      <c r="F124" t="s">
        <v>392</v>
      </c>
    </row>
    <row r="125" spans="1:6">
      <c r="A125" s="4" t="s">
        <v>372</v>
      </c>
      <c r="B125" t="s">
        <v>387</v>
      </c>
      <c r="C125" s="559">
        <v>1</v>
      </c>
      <c r="F125" t="s">
        <v>392</v>
      </c>
    </row>
    <row r="126" spans="1:6">
      <c r="A126" s="4" t="s">
        <v>373</v>
      </c>
      <c r="B126" t="s">
        <v>388</v>
      </c>
      <c r="C126" s="559">
        <v>1</v>
      </c>
      <c r="F126" t="s">
        <v>392</v>
      </c>
    </row>
    <row r="127" spans="1:6">
      <c r="A127" s="4" t="s">
        <v>374</v>
      </c>
      <c r="B127" t="s">
        <v>389</v>
      </c>
      <c r="C127" s="559">
        <v>1</v>
      </c>
      <c r="F127" t="s">
        <v>392</v>
      </c>
    </row>
    <row r="128" spans="1:6">
      <c r="A128" s="4" t="s">
        <v>375</v>
      </c>
      <c r="B128" t="s">
        <v>390</v>
      </c>
      <c r="C128" s="559">
        <v>1</v>
      </c>
      <c r="F128" t="s">
        <v>392</v>
      </c>
    </row>
    <row r="129" spans="1:6">
      <c r="A129" s="4" t="s">
        <v>376</v>
      </c>
      <c r="B129" t="s">
        <v>391</v>
      </c>
      <c r="C129" s="559">
        <v>1</v>
      </c>
      <c r="F129" t="s">
        <v>392</v>
      </c>
    </row>
    <row r="130" spans="1:6">
      <c r="A130" s="4" t="s">
        <v>377</v>
      </c>
      <c r="B130" t="s">
        <v>393</v>
      </c>
      <c r="C130" s="559">
        <v>1</v>
      </c>
      <c r="F130" t="s">
        <v>392</v>
      </c>
    </row>
    <row r="131" spans="1:6">
      <c r="A131" s="4" t="s">
        <v>378</v>
      </c>
      <c r="B131" t="s">
        <v>394</v>
      </c>
      <c r="C131" s="559">
        <v>1</v>
      </c>
      <c r="F131" t="s">
        <v>392</v>
      </c>
    </row>
    <row r="132" spans="1:6">
      <c r="A132" s="4" t="s">
        <v>379</v>
      </c>
      <c r="B132" t="s">
        <v>395</v>
      </c>
      <c r="C132" s="559">
        <v>1</v>
      </c>
      <c r="F132" t="s">
        <v>392</v>
      </c>
    </row>
    <row r="133" spans="1:6">
      <c r="A133" s="82" t="s">
        <v>426</v>
      </c>
      <c r="C133" s="559"/>
    </row>
    <row r="134" spans="1:6">
      <c r="A134" s="4" t="s">
        <v>427</v>
      </c>
      <c r="B134" t="s">
        <v>433</v>
      </c>
      <c r="C134" s="559">
        <v>1</v>
      </c>
      <c r="F134" t="s">
        <v>431</v>
      </c>
    </row>
    <row r="135" spans="1:6">
      <c r="A135" s="4" t="s">
        <v>428</v>
      </c>
      <c r="B135" t="s">
        <v>434</v>
      </c>
      <c r="C135" s="559">
        <v>1</v>
      </c>
      <c r="F135" t="s">
        <v>432</v>
      </c>
    </row>
    <row r="136" spans="1:6">
      <c r="A136" s="82" t="s">
        <v>429</v>
      </c>
      <c r="C136" s="559"/>
    </row>
    <row r="137" spans="1:6">
      <c r="A137" s="4" t="s">
        <v>534</v>
      </c>
      <c r="B137" t="s">
        <v>435</v>
      </c>
      <c r="C137" s="559">
        <v>0</v>
      </c>
      <c r="E137" s="155">
        <v>1</v>
      </c>
      <c r="F137" t="s">
        <v>535</v>
      </c>
    </row>
    <row r="138" spans="1:6">
      <c r="A138" s="4" t="s">
        <v>430</v>
      </c>
      <c r="B138" t="s">
        <v>443</v>
      </c>
      <c r="C138" s="559">
        <v>1</v>
      </c>
      <c r="E138" s="155">
        <v>0</v>
      </c>
      <c r="F138" t="s">
        <v>536</v>
      </c>
    </row>
    <row r="139" spans="1:6">
      <c r="A139" s="93" t="s">
        <v>465</v>
      </c>
      <c r="B139" s="32" t="s">
        <v>472</v>
      </c>
      <c r="C139" s="559">
        <v>0</v>
      </c>
      <c r="D139" s="32"/>
      <c r="E139" s="157"/>
      <c r="F139" s="32" t="s">
        <v>473</v>
      </c>
    </row>
    <row r="140" spans="1:6">
      <c r="A140" s="7" t="s">
        <v>466</v>
      </c>
      <c r="B140" t="s">
        <v>471</v>
      </c>
      <c r="C140" s="559" t="s">
        <v>456</v>
      </c>
      <c r="E140" s="155" t="s">
        <v>849</v>
      </c>
    </row>
    <row r="141" spans="1:6">
      <c r="A141" t="s">
        <v>467</v>
      </c>
      <c r="B141" t="s">
        <v>468</v>
      </c>
      <c r="C141" s="559">
        <v>600</v>
      </c>
      <c r="D141" t="s">
        <v>470</v>
      </c>
    </row>
    <row r="142" spans="1:6">
      <c r="A142" t="s">
        <v>525</v>
      </c>
      <c r="B142" t="s">
        <v>469</v>
      </c>
      <c r="C142" s="559">
        <v>1200</v>
      </c>
      <c r="D142" t="s">
        <v>470</v>
      </c>
    </row>
    <row r="143" spans="1:6">
      <c r="A143" s="5" t="s">
        <v>514</v>
      </c>
      <c r="C143" s="559"/>
    </row>
    <row r="144" spans="1:6">
      <c r="A144" t="s">
        <v>515</v>
      </c>
      <c r="B144" t="s">
        <v>521</v>
      </c>
      <c r="C144" s="559">
        <v>1</v>
      </c>
      <c r="E144" s="155">
        <v>1</v>
      </c>
    </row>
    <row r="145" spans="1:6">
      <c r="A145" t="s">
        <v>516</v>
      </c>
      <c r="B145" t="s">
        <v>520</v>
      </c>
      <c r="C145" s="559">
        <v>1</v>
      </c>
      <c r="E145" s="155">
        <v>1</v>
      </c>
    </row>
    <row r="146" spans="1:6">
      <c r="A146" t="s">
        <v>517</v>
      </c>
      <c r="B146" t="s">
        <v>522</v>
      </c>
      <c r="C146" s="559">
        <v>1</v>
      </c>
      <c r="E146" s="155">
        <v>1</v>
      </c>
    </row>
    <row r="147" spans="1:6">
      <c r="A147" t="s">
        <v>518</v>
      </c>
      <c r="B147" t="s">
        <v>523</v>
      </c>
      <c r="C147" s="559">
        <v>1</v>
      </c>
      <c r="E147" s="155">
        <v>1</v>
      </c>
    </row>
    <row r="148" spans="1:6">
      <c r="A148" t="s">
        <v>519</v>
      </c>
      <c r="B148" t="s">
        <v>524</v>
      </c>
      <c r="C148" s="559">
        <v>6</v>
      </c>
      <c r="E148" s="155">
        <v>6</v>
      </c>
      <c r="F148" t="s">
        <v>537</v>
      </c>
    </row>
  </sheetData>
  <sheetProtection password="CAF5" sheet="1" objects="1" scenarios="1"/>
  <pageMargins left="0.511811024" right="0.511811024" top="0.78740157499999996" bottom="0.78740157499999996" header="0.31496062000000002" footer="0.31496062000000002"/>
  <pageSetup paperSize="9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dimension ref="A1:E179"/>
  <sheetViews>
    <sheetView workbookViewId="0">
      <selection activeCell="E21" sqref="E21"/>
    </sheetView>
  </sheetViews>
  <sheetFormatPr defaultColWidth="8.85546875" defaultRowHeight="15"/>
  <cols>
    <col min="1" max="1" width="51.28515625" bestFit="1" customWidth="1"/>
    <col min="2" max="2" width="14.42578125" customWidth="1"/>
    <col min="5" max="5" width="82.42578125" customWidth="1"/>
  </cols>
  <sheetData>
    <row r="1" spans="1:5">
      <c r="A1" s="13" t="s">
        <v>133</v>
      </c>
      <c r="B1" s="13" t="s">
        <v>40</v>
      </c>
      <c r="C1" s="13" t="s">
        <v>8</v>
      </c>
      <c r="D1" s="13" t="s">
        <v>9</v>
      </c>
      <c r="E1" s="13" t="s">
        <v>10</v>
      </c>
    </row>
    <row r="2" spans="1:5" ht="17.25">
      <c r="A2" s="1" t="s">
        <v>3</v>
      </c>
      <c r="B2" t="s">
        <v>134</v>
      </c>
      <c r="C2" s="6">
        <v>398600500000000</v>
      </c>
      <c r="D2" t="s">
        <v>859</v>
      </c>
    </row>
    <row r="3" spans="1:5" ht="15.75">
      <c r="A3" s="384" t="s">
        <v>767</v>
      </c>
      <c r="B3" s="384"/>
      <c r="C3" s="152"/>
      <c r="D3" s="151"/>
    </row>
    <row r="4" spans="1:5">
      <c r="A4" s="1" t="s">
        <v>757</v>
      </c>
      <c r="B4" s="2" t="s">
        <v>759</v>
      </c>
      <c r="C4" s="6">
        <f ca="1">INDIRECT(ADDRESS(7+3*tatm,3))</f>
        <v>9.9999999999999994E-12</v>
      </c>
      <c r="D4" t="s">
        <v>4</v>
      </c>
    </row>
    <row r="5" spans="1:5">
      <c r="A5" s="1" t="s">
        <v>763</v>
      </c>
      <c r="B5" s="2" t="s">
        <v>760</v>
      </c>
      <c r="C5" s="6">
        <f ca="1">INDIRECT(ADDRESS(8+3*tatm,3))</f>
        <v>2.6800000000000002E-13</v>
      </c>
      <c r="D5" t="s">
        <v>4</v>
      </c>
    </row>
    <row r="6" spans="1:5">
      <c r="A6" s="1" t="s">
        <v>758</v>
      </c>
      <c r="B6" s="2" t="s">
        <v>761</v>
      </c>
      <c r="C6" s="6">
        <f ca="1">INDIRECT(ADDRESS(9+3*tatm,3))</f>
        <v>1.7899999999999999E-15</v>
      </c>
      <c r="D6" t="s">
        <v>4</v>
      </c>
    </row>
    <row r="7" spans="1:5">
      <c r="A7" s="1" t="s">
        <v>731</v>
      </c>
      <c r="B7" t="s">
        <v>733</v>
      </c>
      <c r="C7" s="6">
        <v>1.13E-12</v>
      </c>
      <c r="D7" t="s">
        <v>4</v>
      </c>
    </row>
    <row r="8" spans="1:5">
      <c r="A8" s="1" t="s">
        <v>762</v>
      </c>
      <c r="B8" s="2" t="s">
        <v>734</v>
      </c>
      <c r="C8" s="6">
        <v>7.55E-15</v>
      </c>
      <c r="D8" t="s">
        <v>4</v>
      </c>
    </row>
    <row r="9" spans="1:5">
      <c r="A9" s="1" t="s">
        <v>732</v>
      </c>
      <c r="B9" s="2" t="s">
        <v>735</v>
      </c>
      <c r="C9" s="6">
        <v>2.7799999999999998E-16</v>
      </c>
      <c r="D9" t="s">
        <v>4</v>
      </c>
    </row>
    <row r="10" spans="1:5">
      <c r="A10" s="1" t="s">
        <v>727</v>
      </c>
      <c r="B10" t="s">
        <v>736</v>
      </c>
      <c r="C10" s="6">
        <v>9.9999999999999994E-12</v>
      </c>
      <c r="D10" t="s">
        <v>4</v>
      </c>
    </row>
    <row r="11" spans="1:5">
      <c r="A11" s="1" t="s">
        <v>766</v>
      </c>
      <c r="B11" s="2" t="s">
        <v>737</v>
      </c>
      <c r="C11" s="6">
        <v>2.6800000000000002E-13</v>
      </c>
      <c r="D11" t="s">
        <v>4</v>
      </c>
    </row>
    <row r="12" spans="1:5">
      <c r="A12" s="1" t="s">
        <v>728</v>
      </c>
      <c r="B12" s="2" t="s">
        <v>738</v>
      </c>
      <c r="C12" s="6">
        <v>1.7899999999999999E-15</v>
      </c>
      <c r="D12" t="s">
        <v>4</v>
      </c>
    </row>
    <row r="13" spans="1:5">
      <c r="A13" s="1" t="s">
        <v>729</v>
      </c>
      <c r="B13" t="s">
        <v>739</v>
      </c>
      <c r="C13" s="6">
        <v>2.4800000000000001E-11</v>
      </c>
      <c r="D13" t="s">
        <v>4</v>
      </c>
    </row>
    <row r="14" spans="1:5">
      <c r="A14" s="1" t="s">
        <v>764</v>
      </c>
      <c r="B14" s="2" t="s">
        <v>740</v>
      </c>
      <c r="C14" s="6">
        <v>1.5299999999999999E-12</v>
      </c>
      <c r="D14" t="s">
        <v>4</v>
      </c>
    </row>
    <row r="15" spans="1:5">
      <c r="A15" s="1" t="s">
        <v>730</v>
      </c>
      <c r="B15" s="2" t="s">
        <v>741</v>
      </c>
      <c r="C15" s="6">
        <v>9.6400000000000004E-15</v>
      </c>
      <c r="D15" t="s">
        <v>4</v>
      </c>
    </row>
    <row r="16" spans="1:5">
      <c r="A16" s="1" t="s">
        <v>725</v>
      </c>
      <c r="B16" s="2" t="s">
        <v>742</v>
      </c>
      <c r="C16" s="6">
        <v>4.0600000000000001E-11</v>
      </c>
      <c r="D16" t="s">
        <v>4</v>
      </c>
      <c r="E16" s="2" t="s">
        <v>745</v>
      </c>
    </row>
    <row r="17" spans="1:5">
      <c r="A17" s="1" t="s">
        <v>765</v>
      </c>
      <c r="B17" s="2" t="s">
        <v>743</v>
      </c>
      <c r="C17" s="6">
        <v>3.9799999999999996E-12</v>
      </c>
      <c r="D17" t="s">
        <v>4</v>
      </c>
      <c r="E17" s="2" t="s">
        <v>746</v>
      </c>
    </row>
    <row r="18" spans="1:5">
      <c r="A18" s="1" t="s">
        <v>726</v>
      </c>
      <c r="B18" s="2" t="s">
        <v>744</v>
      </c>
      <c r="C18" s="6">
        <v>5.3800000000000002E-14</v>
      </c>
      <c r="D18" t="s">
        <v>4</v>
      </c>
      <c r="E18" s="2" t="s">
        <v>747</v>
      </c>
    </row>
    <row r="19" spans="1:5" ht="17.25">
      <c r="A19" t="s">
        <v>20</v>
      </c>
      <c r="C19" s="6">
        <v>9.8070000000000004</v>
      </c>
      <c r="D19" t="s">
        <v>860</v>
      </c>
    </row>
    <row r="20" spans="1:5">
      <c r="A20" t="s">
        <v>18</v>
      </c>
      <c r="C20" s="6">
        <v>6378140</v>
      </c>
      <c r="D20" t="s">
        <v>3</v>
      </c>
      <c r="E20" t="s">
        <v>862</v>
      </c>
    </row>
    <row r="21" spans="1:5" ht="17.25">
      <c r="A21" s="2" t="s">
        <v>330</v>
      </c>
      <c r="B21" t="s">
        <v>325</v>
      </c>
      <c r="C21" s="6">
        <v>1326</v>
      </c>
      <c r="D21" t="s">
        <v>329</v>
      </c>
    </row>
    <row r="22" spans="1:5">
      <c r="A22" s="2" t="s">
        <v>26</v>
      </c>
      <c r="B22" s="2" t="s">
        <v>711</v>
      </c>
      <c r="C22">
        <f>24*60*60</f>
        <v>86400</v>
      </c>
      <c r="E22" s="2" t="s">
        <v>25</v>
      </c>
    </row>
    <row r="23" spans="1:5">
      <c r="A23" s="2" t="s">
        <v>323</v>
      </c>
      <c r="B23" s="2" t="s">
        <v>324</v>
      </c>
      <c r="C23">
        <f>60*60</f>
        <v>3600</v>
      </c>
      <c r="E23" s="2"/>
    </row>
    <row r="24" spans="1:5">
      <c r="A24" s="2" t="s">
        <v>88</v>
      </c>
      <c r="B24" s="2" t="s">
        <v>91</v>
      </c>
      <c r="C24">
        <f>2*PI()*SQRT(POWER(a_400,3)/u)</f>
        <v>5553.6275528545666</v>
      </c>
      <c r="D24" t="s">
        <v>22</v>
      </c>
      <c r="E24" s="28">
        <f>+T_400/60</f>
        <v>92.560459214242783</v>
      </c>
    </row>
    <row r="25" spans="1:5">
      <c r="A25" s="2" t="s">
        <v>89</v>
      </c>
      <c r="B25" s="2" t="s">
        <v>92</v>
      </c>
      <c r="C25">
        <f>2*PI()*SQRT(POWER(a_700,3)/u)</f>
        <v>5926.3824062344993</v>
      </c>
      <c r="D25" t="s">
        <v>22</v>
      </c>
      <c r="E25" s="28">
        <f>+T_700/60</f>
        <v>98.773040103908315</v>
      </c>
    </row>
    <row r="26" spans="1:5">
      <c r="A26" s="2" t="s">
        <v>90</v>
      </c>
      <c r="B26" s="2" t="s">
        <v>93</v>
      </c>
      <c r="C26">
        <f>2*PI()*SQRT(POWER(a_1500,3)/u)</f>
        <v>6958.9944506208576</v>
      </c>
      <c r="D26" t="s">
        <v>22</v>
      </c>
      <c r="E26" s="28">
        <f>+T_1500/60</f>
        <v>115.98324084368096</v>
      </c>
    </row>
    <row r="27" spans="1:5">
      <c r="A27" t="s">
        <v>128</v>
      </c>
      <c r="B27" t="s">
        <v>11</v>
      </c>
      <c r="C27" s="6">
        <f>400000+ER</f>
        <v>6778140</v>
      </c>
      <c r="D27" t="s">
        <v>3</v>
      </c>
      <c r="E27" s="28"/>
    </row>
    <row r="28" spans="1:5">
      <c r="A28" t="s">
        <v>129</v>
      </c>
      <c r="B28" t="s">
        <v>64</v>
      </c>
      <c r="C28" s="6">
        <f>700000+ER</f>
        <v>7078140</v>
      </c>
      <c r="D28" t="s">
        <v>3</v>
      </c>
      <c r="E28" s="28"/>
    </row>
    <row r="29" spans="1:5">
      <c r="A29" t="s">
        <v>130</v>
      </c>
      <c r="B29" t="s">
        <v>12</v>
      </c>
      <c r="C29" s="6">
        <f>1500000+ER</f>
        <v>7878140</v>
      </c>
      <c r="D29" t="s">
        <v>3</v>
      </c>
      <c r="E29" s="28"/>
    </row>
    <row r="30" spans="1:5">
      <c r="A30" t="s">
        <v>71</v>
      </c>
      <c r="B30" t="s">
        <v>47</v>
      </c>
      <c r="C30">
        <f>2/PI()</f>
        <v>0.63661977236758138</v>
      </c>
      <c r="E30" s="2" t="s">
        <v>135</v>
      </c>
    </row>
    <row r="31" spans="1:5" ht="17.25">
      <c r="A31" t="s">
        <v>712</v>
      </c>
      <c r="B31" t="s">
        <v>713</v>
      </c>
      <c r="C31">
        <v>1032</v>
      </c>
      <c r="D31" t="s">
        <v>861</v>
      </c>
      <c r="E31" s="2"/>
    </row>
    <row r="32" spans="1:5">
      <c r="E32" s="2"/>
    </row>
    <row r="33" spans="1:5">
      <c r="A33" s="21" t="s">
        <v>142</v>
      </c>
      <c r="E33" s="2"/>
    </row>
    <row r="34" spans="1:5">
      <c r="A34" t="s">
        <v>136</v>
      </c>
      <c r="B34" t="s">
        <v>41</v>
      </c>
      <c r="C34" s="31">
        <f>+(0.6108*181+0.6107*184)/365</f>
        <v>0.610749589041096</v>
      </c>
      <c r="E34" s="2" t="s">
        <v>688</v>
      </c>
    </row>
    <row r="35" spans="1:5">
      <c r="A35" t="s">
        <v>137</v>
      </c>
      <c r="B35" t="s">
        <v>42</v>
      </c>
      <c r="C35" s="31">
        <f>+(0.1605*181+0.1608*184)/365</f>
        <v>0.16065123287671232</v>
      </c>
      <c r="E35" s="2"/>
    </row>
    <row r="36" spans="1:5">
      <c r="A36" t="s">
        <v>138</v>
      </c>
      <c r="B36" t="s">
        <v>43</v>
      </c>
      <c r="C36" s="31">
        <f>+(0.6366*181+0.6366*184)/365</f>
        <v>0.63660000000000005</v>
      </c>
      <c r="E36" s="2"/>
    </row>
    <row r="37" spans="1:5">
      <c r="A37" t="s">
        <v>139</v>
      </c>
      <c r="B37" t="s">
        <v>44</v>
      </c>
      <c r="C37" s="31">
        <f t="shared" ref="C37" si="0">+(0.6108*181+0.6108*184)/365</f>
        <v>0.61080000000000001</v>
      </c>
      <c r="E37" s="2"/>
    </row>
    <row r="38" spans="1:5">
      <c r="A38" t="s">
        <v>140</v>
      </c>
      <c r="B38" t="s">
        <v>45</v>
      </c>
      <c r="C38" s="31">
        <f>+(0.1605*181+0.1608*184)/365</f>
        <v>0.16065123287671232</v>
      </c>
      <c r="E38" s="2"/>
    </row>
    <row r="39" spans="1:5">
      <c r="A39" t="s">
        <v>141</v>
      </c>
      <c r="B39" t="s">
        <v>46</v>
      </c>
      <c r="C39" s="31">
        <f>+(0.6366*181+0.6366*184)/365</f>
        <v>0.63660000000000005</v>
      </c>
      <c r="E39" s="2"/>
    </row>
    <row r="40" spans="1:5">
      <c r="A40" s="21" t="s">
        <v>143</v>
      </c>
    </row>
    <row r="41" spans="1:5">
      <c r="A41" t="s">
        <v>136</v>
      </c>
      <c r="B41" t="s">
        <v>51</v>
      </c>
      <c r="C41" s="31">
        <f>+(0.6006*181+0.608*184)/365</f>
        <v>0.60433041095890416</v>
      </c>
      <c r="E41" s="2"/>
    </row>
    <row r="42" spans="1:5">
      <c r="A42" t="s">
        <v>137</v>
      </c>
      <c r="B42" t="s">
        <v>52</v>
      </c>
      <c r="C42" s="31">
        <f>+(0.1775*181+0.1608*184)/365</f>
        <v>0.16908136986301367</v>
      </c>
      <c r="E42" s="2"/>
    </row>
    <row r="43" spans="1:5">
      <c r="A43" t="s">
        <v>138</v>
      </c>
      <c r="B43" t="s">
        <v>53</v>
      </c>
      <c r="C43" s="31">
        <f>+(0.6366*181+0.6366*184)/365</f>
        <v>0.63660000000000005</v>
      </c>
      <c r="E43" s="2"/>
    </row>
    <row r="44" spans="1:5">
      <c r="A44" t="s">
        <v>139</v>
      </c>
      <c r="B44" t="s">
        <v>54</v>
      </c>
      <c r="C44" s="31">
        <f>+(0.6056*181+0.6001*184)/365</f>
        <v>0.6028273972602739</v>
      </c>
      <c r="E44" s="2"/>
    </row>
    <row r="45" spans="1:5">
      <c r="A45" t="s">
        <v>140</v>
      </c>
      <c r="B45" t="s">
        <v>55</v>
      </c>
      <c r="C45" s="31">
        <f>+(0.165*181+0.11821*184)/365</f>
        <v>0.14141271232876712</v>
      </c>
      <c r="E45" s="2"/>
    </row>
    <row r="46" spans="1:5">
      <c r="A46" t="s">
        <v>141</v>
      </c>
      <c r="B46" t="s">
        <v>56</v>
      </c>
      <c r="C46" s="31">
        <f>+(0.6366*181+0.6366*184)/365</f>
        <v>0.63660000000000005</v>
      </c>
      <c r="E46" s="2"/>
    </row>
    <row r="47" spans="1:5">
      <c r="A47" s="21" t="s">
        <v>144</v>
      </c>
    </row>
    <row r="48" spans="1:5">
      <c r="A48" t="s">
        <v>136</v>
      </c>
      <c r="B48" t="s">
        <v>57</v>
      </c>
      <c r="C48" s="31">
        <f>+(0.5823*181+0.5853*184)/365</f>
        <v>0.5838123287671233</v>
      </c>
      <c r="E48" s="2"/>
    </row>
    <row r="49" spans="1:5">
      <c r="A49" t="s">
        <v>137</v>
      </c>
      <c r="B49" t="s">
        <v>58</v>
      </c>
      <c r="C49" s="31">
        <f>+(0.193*181+0.2022*184)/365</f>
        <v>0.19763780821917809</v>
      </c>
      <c r="E49" s="2"/>
    </row>
    <row r="50" spans="1:5">
      <c r="A50" t="s">
        <v>138</v>
      </c>
      <c r="B50" t="s">
        <v>59</v>
      </c>
      <c r="C50" s="31">
        <f>+(0.6366*181+0.6366*184)/365</f>
        <v>0.63660000000000005</v>
      </c>
      <c r="E50" s="2"/>
    </row>
    <row r="51" spans="1:5">
      <c r="A51" t="s">
        <v>139</v>
      </c>
      <c r="B51" t="s">
        <v>60</v>
      </c>
      <c r="C51" s="31">
        <f>+(0.5893*181+0.5876*184)/365</f>
        <v>0.58844301369863017</v>
      </c>
      <c r="E51" s="2"/>
    </row>
    <row r="52" spans="1:5">
      <c r="A52" t="s">
        <v>140</v>
      </c>
      <c r="B52" t="s">
        <v>61</v>
      </c>
      <c r="C52" s="31">
        <f>+(0.1881*181+0.1981*184)/365</f>
        <v>0.19314109589041095</v>
      </c>
      <c r="E52" s="2"/>
    </row>
    <row r="53" spans="1:5">
      <c r="A53" t="s">
        <v>141</v>
      </c>
      <c r="B53" t="s">
        <v>62</v>
      </c>
      <c r="C53" s="31">
        <f>+(0.6366*181+0.6366*184)/365</f>
        <v>0.63660000000000005</v>
      </c>
      <c r="E53" s="2"/>
    </row>
    <row r="54" spans="1:5">
      <c r="A54" s="21" t="s">
        <v>167</v>
      </c>
    </row>
    <row r="55" spans="1:5">
      <c r="A55" t="s">
        <v>161</v>
      </c>
      <c r="B55" t="s">
        <v>104</v>
      </c>
      <c r="C55">
        <v>9.4299999999999995E-2</v>
      </c>
      <c r="E55" s="2" t="s">
        <v>689</v>
      </c>
    </row>
    <row r="56" spans="1:5">
      <c r="A56" t="s">
        <v>163</v>
      </c>
      <c r="B56" t="s">
        <v>105</v>
      </c>
      <c r="C56">
        <v>3.7400000000000003E-2</v>
      </c>
      <c r="E56" s="2"/>
    </row>
    <row r="57" spans="1:5">
      <c r="A57" t="s">
        <v>162</v>
      </c>
      <c r="B57" t="s">
        <v>106</v>
      </c>
      <c r="C57">
        <v>9.4299999999999995E-2</v>
      </c>
      <c r="E57" s="2"/>
    </row>
    <row r="58" spans="1:5">
      <c r="A58" t="s">
        <v>164</v>
      </c>
      <c r="B58" t="s">
        <v>107</v>
      </c>
      <c r="C58">
        <v>1.06E-2</v>
      </c>
      <c r="E58" s="2"/>
    </row>
    <row r="59" spans="1:5">
      <c r="A59" t="s">
        <v>165</v>
      </c>
      <c r="B59" t="s">
        <v>108</v>
      </c>
      <c r="C59">
        <v>4.1999999999999997E-3</v>
      </c>
      <c r="E59" s="2"/>
    </row>
    <row r="60" spans="1:5">
      <c r="A60" t="s">
        <v>166</v>
      </c>
      <c r="B60" t="s">
        <v>109</v>
      </c>
      <c r="C60">
        <v>5.7500000000000002E-2</v>
      </c>
      <c r="E60" s="2"/>
    </row>
    <row r="61" spans="1:5">
      <c r="A61" s="21" t="s">
        <v>168</v>
      </c>
    </row>
    <row r="62" spans="1:5">
      <c r="A62" t="s">
        <v>161</v>
      </c>
      <c r="B62" t="s">
        <v>110</v>
      </c>
      <c r="C62">
        <v>9.4200000000000006E-2</v>
      </c>
      <c r="E62" s="2"/>
    </row>
    <row r="63" spans="1:5">
      <c r="A63" t="s">
        <v>163</v>
      </c>
      <c r="B63" t="s">
        <v>111</v>
      </c>
      <c r="C63">
        <v>5.4199999999999998E-2</v>
      </c>
      <c r="E63" s="2"/>
    </row>
    <row r="64" spans="1:5">
      <c r="A64" t="s">
        <v>162</v>
      </c>
      <c r="B64" t="s">
        <v>112</v>
      </c>
      <c r="C64">
        <v>9.4200000000000006E-2</v>
      </c>
      <c r="E64" s="2"/>
    </row>
    <row r="65" spans="1:5">
      <c r="A65" t="s">
        <v>164</v>
      </c>
      <c r="B65" t="s">
        <v>113</v>
      </c>
      <c r="C65">
        <v>1.0500000000000001E-2</v>
      </c>
      <c r="E65" s="2"/>
    </row>
    <row r="66" spans="1:5">
      <c r="A66" t="s">
        <v>165</v>
      </c>
      <c r="B66" t="s">
        <v>114</v>
      </c>
      <c r="C66">
        <v>5.7999999999999996E-3</v>
      </c>
      <c r="E66" s="2"/>
    </row>
    <row r="67" spans="1:5">
      <c r="A67" t="s">
        <v>166</v>
      </c>
      <c r="B67" t="s">
        <v>115</v>
      </c>
      <c r="C67">
        <v>5.7700000000000001E-2</v>
      </c>
      <c r="E67" s="2"/>
    </row>
    <row r="68" spans="1:5">
      <c r="A68" s="21" t="s">
        <v>169</v>
      </c>
    </row>
    <row r="69" spans="1:5">
      <c r="A69" t="s">
        <v>161</v>
      </c>
      <c r="B69" t="s">
        <v>116</v>
      </c>
      <c r="C69">
        <v>9.3700000000000006E-2</v>
      </c>
      <c r="E69" s="2"/>
    </row>
    <row r="70" spans="1:5">
      <c r="A70" t="s">
        <v>163</v>
      </c>
      <c r="B70" t="s">
        <v>117</v>
      </c>
      <c r="C70">
        <v>6.7400000000000002E-2</v>
      </c>
      <c r="E70" s="2"/>
    </row>
    <row r="71" spans="1:5">
      <c r="A71" t="s">
        <v>162</v>
      </c>
      <c r="B71" t="s">
        <v>118</v>
      </c>
      <c r="C71">
        <v>9.3700000000000006E-2</v>
      </c>
      <c r="E71" s="2"/>
    </row>
    <row r="72" spans="1:5">
      <c r="A72" t="s">
        <v>164</v>
      </c>
      <c r="B72" t="s">
        <v>119</v>
      </c>
      <c r="C72">
        <v>0.01</v>
      </c>
      <c r="E72" s="2"/>
    </row>
    <row r="73" spans="1:5">
      <c r="A73" t="s">
        <v>165</v>
      </c>
      <c r="B73" t="s">
        <v>120</v>
      </c>
      <c r="C73">
        <v>6.7000000000000002E-3</v>
      </c>
      <c r="E73" s="2"/>
    </row>
    <row r="74" spans="1:5">
      <c r="A74" t="s">
        <v>166</v>
      </c>
      <c r="B74" t="s">
        <v>121</v>
      </c>
      <c r="C74">
        <v>5.8400000000000001E-2</v>
      </c>
      <c r="E74" s="2"/>
    </row>
    <row r="75" spans="1:5">
      <c r="A75" s="21" t="s">
        <v>195</v>
      </c>
      <c r="E75" s="2"/>
    </row>
    <row r="76" spans="1:5">
      <c r="A76" t="s">
        <v>189</v>
      </c>
      <c r="B76" t="s">
        <v>206</v>
      </c>
      <c r="C76" s="32">
        <v>13905</v>
      </c>
      <c r="D76" t="s">
        <v>196</v>
      </c>
      <c r="E76" s="2"/>
    </row>
    <row r="77" spans="1:5">
      <c r="A77" t="s">
        <v>190</v>
      </c>
      <c r="B77" t="s">
        <v>207</v>
      </c>
      <c r="C77" s="32">
        <v>1271</v>
      </c>
      <c r="D77" t="s">
        <v>196</v>
      </c>
      <c r="E77" s="2"/>
    </row>
    <row r="78" spans="1:5">
      <c r="A78" t="s">
        <v>191</v>
      </c>
      <c r="B78" t="s">
        <v>208</v>
      </c>
      <c r="C78" s="32">
        <v>28562</v>
      </c>
      <c r="D78" t="s">
        <v>196</v>
      </c>
      <c r="E78" s="2"/>
    </row>
    <row r="79" spans="1:5">
      <c r="A79" t="s">
        <v>186</v>
      </c>
      <c r="B79" t="s">
        <v>209</v>
      </c>
      <c r="C79" s="32">
        <v>11470</v>
      </c>
      <c r="D79" t="s">
        <v>196</v>
      </c>
      <c r="E79" s="2"/>
    </row>
    <row r="80" spans="1:5">
      <c r="A80" t="s">
        <v>187</v>
      </c>
      <c r="B80" t="s">
        <v>210</v>
      </c>
      <c r="C80" s="32">
        <v>1055</v>
      </c>
      <c r="D80" t="s">
        <v>196</v>
      </c>
      <c r="E80" s="2"/>
    </row>
    <row r="81" spans="1:5">
      <c r="A81" t="s">
        <v>188</v>
      </c>
      <c r="B81" t="s">
        <v>211</v>
      </c>
      <c r="C81" s="32">
        <v>23730</v>
      </c>
      <c r="D81" t="s">
        <v>196</v>
      </c>
      <c r="E81" s="2"/>
    </row>
    <row r="82" spans="1:5">
      <c r="A82" t="s">
        <v>192</v>
      </c>
      <c r="B82" t="s">
        <v>212</v>
      </c>
      <c r="C82" s="32">
        <v>8584</v>
      </c>
      <c r="D82" t="s">
        <v>196</v>
      </c>
      <c r="E82" s="2"/>
    </row>
    <row r="83" spans="1:5">
      <c r="A83" t="s">
        <v>193</v>
      </c>
      <c r="B83" t="s">
        <v>213</v>
      </c>
      <c r="C83" s="32">
        <v>1140</v>
      </c>
      <c r="D83" t="s">
        <v>196</v>
      </c>
      <c r="E83" s="2"/>
    </row>
    <row r="84" spans="1:5">
      <c r="A84" t="s">
        <v>194</v>
      </c>
      <c r="B84" t="s">
        <v>214</v>
      </c>
      <c r="C84" s="32">
        <v>17806</v>
      </c>
      <c r="D84" t="s">
        <v>196</v>
      </c>
      <c r="E84" s="2"/>
    </row>
    <row r="85" spans="1:5">
      <c r="A85" s="21" t="s">
        <v>183</v>
      </c>
      <c r="C85" s="32"/>
      <c r="E85" s="2"/>
    </row>
    <row r="86" spans="1:5">
      <c r="A86" t="s">
        <v>189</v>
      </c>
      <c r="B86" t="s">
        <v>197</v>
      </c>
      <c r="C86" s="32">
        <v>2676</v>
      </c>
      <c r="D86" t="s">
        <v>196</v>
      </c>
      <c r="E86" s="2"/>
    </row>
    <row r="87" spans="1:5">
      <c r="A87" t="s">
        <v>190</v>
      </c>
      <c r="B87" t="s">
        <v>198</v>
      </c>
      <c r="C87" s="32">
        <v>25938</v>
      </c>
      <c r="D87" t="s">
        <v>196</v>
      </c>
      <c r="E87" s="2"/>
    </row>
    <row r="88" spans="1:5">
      <c r="A88" t="s">
        <v>191</v>
      </c>
      <c r="B88" t="s">
        <v>199</v>
      </c>
      <c r="C88" s="32">
        <v>6916</v>
      </c>
      <c r="D88" t="s">
        <v>196</v>
      </c>
      <c r="E88" s="2"/>
    </row>
    <row r="89" spans="1:5">
      <c r="A89" t="s">
        <v>186</v>
      </c>
      <c r="B89" t="s">
        <v>200</v>
      </c>
      <c r="C89" s="32">
        <v>1709</v>
      </c>
      <c r="D89" t="s">
        <v>196</v>
      </c>
      <c r="E89" s="2"/>
    </row>
    <row r="90" spans="1:5">
      <c r="A90" t="s">
        <v>187</v>
      </c>
      <c r="B90" t="s">
        <v>201</v>
      </c>
      <c r="C90" s="32">
        <v>20513</v>
      </c>
      <c r="D90" t="s">
        <v>196</v>
      </c>
      <c r="E90" s="2"/>
    </row>
    <row r="91" spans="1:5">
      <c r="A91" t="s">
        <v>188</v>
      </c>
      <c r="B91" t="s">
        <v>202</v>
      </c>
      <c r="C91" s="32">
        <v>3204</v>
      </c>
      <c r="D91" t="s">
        <v>196</v>
      </c>
      <c r="E91" s="2"/>
    </row>
    <row r="92" spans="1:5">
      <c r="A92" t="s">
        <v>192</v>
      </c>
      <c r="B92" t="s">
        <v>203</v>
      </c>
      <c r="C92" s="32">
        <v>1691</v>
      </c>
      <c r="D92" t="s">
        <v>196</v>
      </c>
      <c r="E92" s="2"/>
    </row>
    <row r="93" spans="1:5">
      <c r="A93" t="s">
        <v>193</v>
      </c>
      <c r="B93" t="s">
        <v>204</v>
      </c>
      <c r="C93" s="32">
        <v>16148</v>
      </c>
      <c r="D93" t="s">
        <v>196</v>
      </c>
      <c r="E93" s="2"/>
    </row>
    <row r="94" spans="1:5">
      <c r="A94" t="s">
        <v>194</v>
      </c>
      <c r="B94" t="s">
        <v>205</v>
      </c>
      <c r="C94" s="32">
        <v>3980</v>
      </c>
      <c r="D94" t="s">
        <v>196</v>
      </c>
      <c r="E94" s="2"/>
    </row>
    <row r="95" spans="1:5">
      <c r="A95" s="21" t="s">
        <v>184</v>
      </c>
      <c r="C95" s="32"/>
    </row>
    <row r="96" spans="1:5">
      <c r="A96" t="s">
        <v>189</v>
      </c>
      <c r="B96" t="s">
        <v>215</v>
      </c>
      <c r="C96" s="32">
        <v>2123</v>
      </c>
      <c r="D96" t="s">
        <v>196</v>
      </c>
      <c r="E96" s="2"/>
    </row>
    <row r="97" spans="1:5">
      <c r="A97" t="s">
        <v>190</v>
      </c>
      <c r="B97" t="s">
        <v>216</v>
      </c>
      <c r="C97" s="32">
        <v>23251</v>
      </c>
      <c r="D97" t="s">
        <v>196</v>
      </c>
      <c r="E97" s="2"/>
    </row>
    <row r="98" spans="1:5">
      <c r="A98" t="s">
        <v>191</v>
      </c>
      <c r="B98" t="s">
        <v>217</v>
      </c>
      <c r="C98" s="32">
        <v>3936</v>
      </c>
      <c r="D98" t="s">
        <v>196</v>
      </c>
      <c r="E98" s="2"/>
    </row>
    <row r="99" spans="1:5">
      <c r="A99" t="s">
        <v>186</v>
      </c>
      <c r="B99" t="s">
        <v>218</v>
      </c>
      <c r="C99" s="32">
        <v>1709</v>
      </c>
      <c r="D99" t="s">
        <v>196</v>
      </c>
      <c r="E99" s="2"/>
    </row>
    <row r="100" spans="1:5">
      <c r="A100" t="s">
        <v>187</v>
      </c>
      <c r="B100" t="s">
        <v>219</v>
      </c>
      <c r="C100" s="32">
        <v>20513</v>
      </c>
      <c r="D100" t="s">
        <v>196</v>
      </c>
      <c r="E100" s="2"/>
    </row>
    <row r="101" spans="1:5">
      <c r="A101" t="s">
        <v>188</v>
      </c>
      <c r="B101" t="s">
        <v>220</v>
      </c>
      <c r="C101" s="32">
        <v>3204</v>
      </c>
      <c r="D101" t="s">
        <v>196</v>
      </c>
      <c r="E101" s="2"/>
    </row>
    <row r="102" spans="1:5">
      <c r="A102" t="s">
        <v>192</v>
      </c>
      <c r="B102" t="s">
        <v>221</v>
      </c>
      <c r="C102" s="32">
        <v>1112</v>
      </c>
      <c r="D102" t="s">
        <v>196</v>
      </c>
      <c r="E102" s="2"/>
    </row>
    <row r="103" spans="1:5">
      <c r="A103" t="s">
        <v>193</v>
      </c>
      <c r="B103" t="s">
        <v>222</v>
      </c>
      <c r="C103" s="32">
        <v>14764</v>
      </c>
      <c r="D103" t="s">
        <v>196</v>
      </c>
      <c r="E103" s="2"/>
    </row>
    <row r="104" spans="1:5">
      <c r="A104" t="s">
        <v>194</v>
      </c>
      <c r="B104" t="s">
        <v>223</v>
      </c>
      <c r="C104" s="32">
        <v>2013</v>
      </c>
      <c r="D104" t="s">
        <v>196</v>
      </c>
      <c r="E104" s="2"/>
    </row>
    <row r="105" spans="1:5">
      <c r="A105" s="21" t="s">
        <v>185</v>
      </c>
      <c r="C105" s="32"/>
    </row>
    <row r="106" spans="1:5">
      <c r="A106" t="s">
        <v>189</v>
      </c>
      <c r="B106" t="s">
        <v>224</v>
      </c>
      <c r="C106" s="32">
        <v>5144</v>
      </c>
      <c r="D106" t="s">
        <v>196</v>
      </c>
      <c r="E106" s="2"/>
    </row>
    <row r="107" spans="1:5">
      <c r="A107" t="s">
        <v>190</v>
      </c>
      <c r="B107" t="s">
        <v>225</v>
      </c>
      <c r="C107" s="32">
        <v>19306</v>
      </c>
      <c r="D107" t="s">
        <v>196</v>
      </c>
      <c r="E107" s="2"/>
    </row>
    <row r="108" spans="1:5">
      <c r="A108" t="s">
        <v>191</v>
      </c>
      <c r="B108" t="s">
        <v>226</v>
      </c>
      <c r="C108" s="32">
        <v>11029</v>
      </c>
      <c r="D108" t="s">
        <v>196</v>
      </c>
      <c r="E108" s="2"/>
    </row>
    <row r="109" spans="1:5">
      <c r="A109" t="s">
        <v>186</v>
      </c>
      <c r="B109" t="s">
        <v>227</v>
      </c>
      <c r="C109" s="32">
        <v>4230</v>
      </c>
      <c r="D109" t="s">
        <v>196</v>
      </c>
      <c r="E109" s="2"/>
    </row>
    <row r="110" spans="1:5">
      <c r="A110" t="s">
        <v>187</v>
      </c>
      <c r="B110" t="s">
        <v>228</v>
      </c>
      <c r="C110" s="32">
        <v>16906</v>
      </c>
      <c r="D110" t="s">
        <v>196</v>
      </c>
      <c r="E110" s="2"/>
    </row>
    <row r="111" spans="1:5">
      <c r="A111" t="s">
        <v>188</v>
      </c>
      <c r="B111" t="s">
        <v>229</v>
      </c>
      <c r="C111" s="32">
        <v>9002</v>
      </c>
      <c r="D111" t="s">
        <v>196</v>
      </c>
      <c r="E111" s="2"/>
    </row>
    <row r="112" spans="1:5">
      <c r="A112" t="s">
        <v>192</v>
      </c>
      <c r="B112" t="s">
        <v>230</v>
      </c>
      <c r="C112">
        <v>3069</v>
      </c>
      <c r="D112" t="s">
        <v>196</v>
      </c>
      <c r="E112" s="2"/>
    </row>
    <row r="113" spans="1:5">
      <c r="A113" t="s">
        <v>193</v>
      </c>
      <c r="B113" t="s">
        <v>231</v>
      </c>
      <c r="C113">
        <v>12487</v>
      </c>
      <c r="D113" t="s">
        <v>196</v>
      </c>
      <c r="E113" s="2"/>
    </row>
    <row r="114" spans="1:5">
      <c r="A114" t="s">
        <v>194</v>
      </c>
      <c r="B114" t="s">
        <v>232</v>
      </c>
      <c r="C114">
        <v>6442</v>
      </c>
      <c r="D114" t="s">
        <v>196</v>
      </c>
      <c r="E114" s="2"/>
    </row>
    <row r="115" spans="1:5">
      <c r="A115" s="5" t="s">
        <v>245</v>
      </c>
    </row>
    <row r="116" spans="1:5">
      <c r="A116" t="s">
        <v>246</v>
      </c>
      <c r="B116" t="s">
        <v>273</v>
      </c>
      <c r="C116">
        <v>2104.7460000000001</v>
      </c>
    </row>
    <row r="117" spans="1:5">
      <c r="A117" t="s">
        <v>248</v>
      </c>
      <c r="B117" t="s">
        <v>480</v>
      </c>
      <c r="C117">
        <f>COS(RADIANS(34.181))</f>
        <v>0.82726692270207824</v>
      </c>
    </row>
    <row r="118" spans="1:5">
      <c r="A118" t="s">
        <v>247</v>
      </c>
      <c r="B118" t="s">
        <v>479</v>
      </c>
      <c r="C118">
        <v>2026.798</v>
      </c>
    </row>
    <row r="119" spans="1:5">
      <c r="A119" t="s">
        <v>257</v>
      </c>
      <c r="B119" t="s">
        <v>481</v>
      </c>
      <c r="C119">
        <v>2164.1419999999998</v>
      </c>
    </row>
    <row r="120" spans="1:5">
      <c r="A120" t="s">
        <v>255</v>
      </c>
      <c r="B120" t="s">
        <v>482</v>
      </c>
      <c r="C120">
        <f>COS(RADIANS(5.256))</f>
        <v>0.99579534008746828</v>
      </c>
    </row>
    <row r="121" spans="1:5">
      <c r="A121" t="s">
        <v>256</v>
      </c>
      <c r="B121" t="s">
        <v>483</v>
      </c>
      <c r="C121">
        <v>2160.3530000000001</v>
      </c>
    </row>
    <row r="122" spans="1:5">
      <c r="A122" t="s">
        <v>249</v>
      </c>
      <c r="B122" t="s">
        <v>484</v>
      </c>
      <c r="C122">
        <v>2036.7860000000001</v>
      </c>
    </row>
    <row r="123" spans="1:5">
      <c r="A123" t="s">
        <v>250</v>
      </c>
      <c r="B123" t="s">
        <v>485</v>
      </c>
      <c r="C123">
        <f>COS(RADIANS(34.414))</f>
        <v>0.82497542616671393</v>
      </c>
    </row>
    <row r="124" spans="1:5">
      <c r="A124" t="s">
        <v>251</v>
      </c>
      <c r="B124" t="s">
        <v>486</v>
      </c>
      <c r="C124">
        <v>1918.8779999999999</v>
      </c>
    </row>
    <row r="125" spans="1:5">
      <c r="A125" t="s">
        <v>258</v>
      </c>
      <c r="B125" t="s">
        <v>487</v>
      </c>
      <c r="C125">
        <v>2117.723</v>
      </c>
    </row>
    <row r="126" spans="1:5">
      <c r="A126" t="s">
        <v>259</v>
      </c>
      <c r="B126" t="s">
        <v>488</v>
      </c>
      <c r="C126">
        <f>COS(RADIANS(5.594))</f>
        <v>0.99523761338223427</v>
      </c>
    </row>
    <row r="127" spans="1:5">
      <c r="A127" t="s">
        <v>260</v>
      </c>
      <c r="B127" t="s">
        <v>489</v>
      </c>
      <c r="C127">
        <v>2112.5709999999999</v>
      </c>
    </row>
    <row r="128" spans="1:5">
      <c r="A128" t="s">
        <v>252</v>
      </c>
      <c r="B128" t="s">
        <v>490</v>
      </c>
      <c r="C128">
        <v>1972.848</v>
      </c>
    </row>
    <row r="129" spans="1:3">
      <c r="A129" t="s">
        <v>253</v>
      </c>
      <c r="B129" t="s">
        <v>491</v>
      </c>
      <c r="C129">
        <f>COS(RADIANS(35.158))</f>
        <v>0.81756722570982743</v>
      </c>
    </row>
    <row r="130" spans="1:3">
      <c r="A130" t="s">
        <v>254</v>
      </c>
      <c r="B130" t="s">
        <v>492</v>
      </c>
      <c r="C130">
        <v>1711.9159999999999</v>
      </c>
    </row>
    <row r="131" spans="1:3">
      <c r="A131" t="s">
        <v>261</v>
      </c>
      <c r="B131" t="s">
        <v>493</v>
      </c>
      <c r="C131">
        <v>2093.6370000000002</v>
      </c>
    </row>
    <row r="132" spans="1:3">
      <c r="A132" t="s">
        <v>262</v>
      </c>
      <c r="B132" t="s">
        <v>494</v>
      </c>
      <c r="C132">
        <f>COS(RADIANS(6.709))</f>
        <v>0.99315231068928167</v>
      </c>
    </row>
    <row r="133" spans="1:3">
      <c r="A133" t="s">
        <v>263</v>
      </c>
      <c r="B133" t="s">
        <v>495</v>
      </c>
      <c r="C133">
        <v>2082.2779999999998</v>
      </c>
    </row>
    <row r="134" spans="1:3">
      <c r="A134" s="5" t="s">
        <v>303</v>
      </c>
    </row>
    <row r="135" spans="1:3">
      <c r="A135" t="s">
        <v>264</v>
      </c>
      <c r="B135" t="s">
        <v>274</v>
      </c>
      <c r="C135">
        <v>2168.8760000000002</v>
      </c>
    </row>
    <row r="136" spans="1:3">
      <c r="A136" t="s">
        <v>265</v>
      </c>
      <c r="B136" t="s">
        <v>275</v>
      </c>
      <c r="C136">
        <f>COS(RADIANS(-23.438))</f>
        <v>0.91749102540231808</v>
      </c>
    </row>
    <row r="137" spans="1:3">
      <c r="A137" t="s">
        <v>266</v>
      </c>
      <c r="B137" t="s">
        <v>276</v>
      </c>
      <c r="C137">
        <v>2112.183</v>
      </c>
    </row>
    <row r="138" spans="1:3">
      <c r="A138" t="s">
        <v>267</v>
      </c>
      <c r="B138" t="s">
        <v>277</v>
      </c>
      <c r="C138">
        <v>2158.8580000000002</v>
      </c>
    </row>
    <row r="139" spans="1:3">
      <c r="A139" t="s">
        <v>268</v>
      </c>
      <c r="B139" t="s">
        <v>278</v>
      </c>
      <c r="C139">
        <f>COS(RADIANS(-23.438))</f>
        <v>0.91749102540231808</v>
      </c>
    </row>
    <row r="140" spans="1:3">
      <c r="A140" t="s">
        <v>269</v>
      </c>
      <c r="B140" t="s">
        <v>279</v>
      </c>
      <c r="C140">
        <v>2039.1420000000001</v>
      </c>
    </row>
    <row r="141" spans="1:3">
      <c r="A141" t="s">
        <v>270</v>
      </c>
      <c r="B141" t="s">
        <v>280</v>
      </c>
      <c r="C141">
        <v>2096.2829999999999</v>
      </c>
    </row>
    <row r="142" spans="1:3">
      <c r="A142" t="s">
        <v>271</v>
      </c>
      <c r="B142" t="s">
        <v>281</v>
      </c>
      <c r="C142">
        <f>COS(RADIANS(-23.438))</f>
        <v>0.91749102540231808</v>
      </c>
    </row>
    <row r="143" spans="1:3">
      <c r="A143" t="s">
        <v>272</v>
      </c>
      <c r="B143" t="s">
        <v>282</v>
      </c>
      <c r="C143">
        <v>1949.2439999999999</v>
      </c>
    </row>
    <row r="144" spans="1:3">
      <c r="A144" s="5" t="s">
        <v>302</v>
      </c>
    </row>
    <row r="145" spans="1:3">
      <c r="A145" t="s">
        <v>264</v>
      </c>
      <c r="B145" t="s">
        <v>289</v>
      </c>
      <c r="C145">
        <v>2168.7829999999999</v>
      </c>
    </row>
    <row r="146" spans="1:3">
      <c r="A146" t="s">
        <v>265</v>
      </c>
      <c r="B146" t="s">
        <v>290</v>
      </c>
      <c r="C146">
        <f>COS(RADIANS(-34.09))</f>
        <v>0.82815817197361952</v>
      </c>
    </row>
    <row r="147" spans="1:3">
      <c r="A147" t="s">
        <v>266</v>
      </c>
      <c r="B147" t="s">
        <v>291</v>
      </c>
      <c r="C147">
        <v>2037.385</v>
      </c>
    </row>
    <row r="148" spans="1:3">
      <c r="A148" t="s">
        <v>267</v>
      </c>
      <c r="B148" t="s">
        <v>283</v>
      </c>
      <c r="C148">
        <v>2121.1909999999998</v>
      </c>
    </row>
    <row r="149" spans="1:3">
      <c r="A149" t="s">
        <v>268</v>
      </c>
      <c r="B149" t="s">
        <v>284</v>
      </c>
      <c r="C149">
        <f>COS(RADIANS(-35.259))</f>
        <v>0.81655088733268655</v>
      </c>
    </row>
    <row r="150" spans="1:3">
      <c r="A150" t="s">
        <v>269</v>
      </c>
      <c r="B150" t="s">
        <v>285</v>
      </c>
      <c r="C150">
        <v>1913.2909999999999</v>
      </c>
    </row>
    <row r="151" spans="1:3">
      <c r="A151" t="s">
        <v>270</v>
      </c>
      <c r="B151" t="s">
        <v>286</v>
      </c>
      <c r="C151">
        <v>2096.451</v>
      </c>
    </row>
    <row r="152" spans="1:3">
      <c r="A152" t="s">
        <v>271</v>
      </c>
      <c r="B152" t="s">
        <v>287</v>
      </c>
      <c r="C152">
        <f>COS(RADIANS(-35.18))</f>
        <v>0.81734606138436994</v>
      </c>
    </row>
    <row r="153" spans="1:3">
      <c r="A153" t="s">
        <v>272</v>
      </c>
      <c r="B153" t="s">
        <v>288</v>
      </c>
      <c r="C153">
        <v>1714.0050000000001</v>
      </c>
    </row>
    <row r="154" spans="1:3">
      <c r="A154" s="5" t="s">
        <v>301</v>
      </c>
    </row>
    <row r="155" spans="1:3">
      <c r="A155" t="s">
        <v>264</v>
      </c>
      <c r="B155" t="s">
        <v>292</v>
      </c>
      <c r="C155" s="32">
        <v>2615.4140000000002</v>
      </c>
    </row>
    <row r="156" spans="1:3">
      <c r="A156" t="s">
        <v>265</v>
      </c>
      <c r="B156" t="s">
        <v>293</v>
      </c>
      <c r="C156" s="32">
        <f>COS(RADIANS(-48.117))</f>
        <v>0.66761168439673668</v>
      </c>
    </row>
    <row r="157" spans="1:3">
      <c r="A157" t="s">
        <v>266</v>
      </c>
      <c r="B157" t="s">
        <v>294</v>
      </c>
      <c r="C157" s="32">
        <v>1844.8969999999999</v>
      </c>
    </row>
    <row r="158" spans="1:3">
      <c r="A158" t="s">
        <v>267</v>
      </c>
      <c r="B158" t="s">
        <v>295</v>
      </c>
      <c r="C158" s="32">
        <v>2122.203</v>
      </c>
    </row>
    <row r="159" spans="1:3">
      <c r="A159" t="s">
        <v>268</v>
      </c>
      <c r="B159" t="s">
        <v>296</v>
      </c>
      <c r="C159" s="32">
        <f>COS(RADIANS(46.608))</f>
        <v>0.68698605514502997</v>
      </c>
    </row>
    <row r="160" spans="1:3">
      <c r="A160" t="s">
        <v>269</v>
      </c>
      <c r="B160" t="s">
        <v>297</v>
      </c>
      <c r="C160" s="32">
        <v>1682.5709999999999</v>
      </c>
    </row>
    <row r="161" spans="1:5">
      <c r="A161" t="s">
        <v>270</v>
      </c>
      <c r="B161" t="s">
        <v>298</v>
      </c>
      <c r="C161" s="32">
        <v>2097.404</v>
      </c>
    </row>
    <row r="162" spans="1:5">
      <c r="A162" t="s">
        <v>271</v>
      </c>
      <c r="B162" t="s">
        <v>299</v>
      </c>
      <c r="C162" s="32">
        <f>COS(RADIANS(-39.746))</f>
        <v>0.76888647146360323</v>
      </c>
    </row>
    <row r="163" spans="1:5">
      <c r="A163" t="s">
        <v>272</v>
      </c>
      <c r="B163" t="s">
        <v>300</v>
      </c>
      <c r="C163" s="32">
        <v>1779.232</v>
      </c>
    </row>
    <row r="164" spans="1:5">
      <c r="A164" s="5" t="s">
        <v>776</v>
      </c>
    </row>
    <row r="165" spans="1:5">
      <c r="A165" s="155" t="s">
        <v>556</v>
      </c>
      <c r="B165" s="155" t="s">
        <v>610</v>
      </c>
      <c r="C165" s="157">
        <v>8.3000000000000007</v>
      </c>
      <c r="D165" s="155" t="s">
        <v>572</v>
      </c>
      <c r="E165" s="155" t="s">
        <v>716</v>
      </c>
    </row>
    <row r="166" spans="1:5">
      <c r="A166" s="155" t="s">
        <v>557</v>
      </c>
      <c r="B166" s="155" t="s">
        <v>611</v>
      </c>
      <c r="C166" s="157">
        <v>1</v>
      </c>
      <c r="D166" s="155" t="s">
        <v>572</v>
      </c>
      <c r="E166" s="155"/>
    </row>
    <row r="167" spans="1:5">
      <c r="A167" s="155" t="s">
        <v>558</v>
      </c>
      <c r="B167" s="155" t="s">
        <v>612</v>
      </c>
      <c r="C167" s="157">
        <v>20</v>
      </c>
      <c r="D167" s="155" t="s">
        <v>571</v>
      </c>
      <c r="E167" s="155"/>
    </row>
    <row r="168" spans="1:5">
      <c r="A168" s="155" t="s">
        <v>559</v>
      </c>
      <c r="B168" s="155" t="s">
        <v>613</v>
      </c>
      <c r="C168" s="157">
        <v>6.2</v>
      </c>
      <c r="D168" s="155" t="s">
        <v>572</v>
      </c>
      <c r="E168" s="7" t="s">
        <v>717</v>
      </c>
    </row>
    <row r="169" spans="1:5">
      <c r="A169" s="155" t="s">
        <v>560</v>
      </c>
      <c r="B169" s="155" t="s">
        <v>614</v>
      </c>
      <c r="C169" s="157">
        <v>0.6</v>
      </c>
      <c r="D169" s="155" t="s">
        <v>572</v>
      </c>
      <c r="E169" s="7"/>
    </row>
    <row r="170" spans="1:5">
      <c r="A170" s="155" t="s">
        <v>561</v>
      </c>
      <c r="B170" s="155" t="s">
        <v>615</v>
      </c>
      <c r="C170" s="157">
        <v>40</v>
      </c>
      <c r="D170" s="155" t="s">
        <v>571</v>
      </c>
      <c r="E170" s="7"/>
    </row>
    <row r="171" spans="1:5">
      <c r="A171" s="155" t="s">
        <v>562</v>
      </c>
      <c r="B171" s="155" t="s">
        <v>616</v>
      </c>
      <c r="C171" s="157">
        <v>8.1</v>
      </c>
      <c r="D171" s="155" t="s">
        <v>572</v>
      </c>
      <c r="E171" s="155" t="s">
        <v>718</v>
      </c>
    </row>
    <row r="172" spans="1:5">
      <c r="A172" s="155" t="s">
        <v>563</v>
      </c>
      <c r="B172" s="155" t="s">
        <v>617</v>
      </c>
      <c r="C172" s="157">
        <v>0.8</v>
      </c>
      <c r="D172" s="155" t="s">
        <v>572</v>
      </c>
      <c r="E172" s="155"/>
    </row>
    <row r="173" spans="1:5">
      <c r="A173" s="155" t="s">
        <v>564</v>
      </c>
      <c r="B173" s="155" t="s">
        <v>618</v>
      </c>
      <c r="C173" s="157">
        <v>34</v>
      </c>
      <c r="D173" s="155" t="s">
        <v>571</v>
      </c>
      <c r="E173" s="155"/>
    </row>
    <row r="174" spans="1:5">
      <c r="A174" s="155" t="s">
        <v>565</v>
      </c>
      <c r="B174" s="155" t="s">
        <v>619</v>
      </c>
      <c r="C174" s="157">
        <v>10</v>
      </c>
      <c r="D174" s="155" t="s">
        <v>572</v>
      </c>
      <c r="E174" s="155" t="s">
        <v>719</v>
      </c>
    </row>
    <row r="175" spans="1:5">
      <c r="A175" s="155" t="s">
        <v>566</v>
      </c>
      <c r="B175" s="155" t="s">
        <v>620</v>
      </c>
      <c r="C175" s="157">
        <v>2.5</v>
      </c>
      <c r="D175" s="155" t="s">
        <v>572</v>
      </c>
      <c r="E175" s="155"/>
    </row>
    <row r="176" spans="1:5">
      <c r="A176" s="155" t="s">
        <v>567</v>
      </c>
      <c r="B176" s="155" t="s">
        <v>621</v>
      </c>
      <c r="C176" s="157">
        <v>35</v>
      </c>
      <c r="D176" s="155" t="s">
        <v>571</v>
      </c>
      <c r="E176" s="155"/>
    </row>
    <row r="177" spans="1:5">
      <c r="A177" s="155" t="s">
        <v>568</v>
      </c>
      <c r="B177" s="155" t="s">
        <v>622</v>
      </c>
      <c r="C177" s="157">
        <v>5.5</v>
      </c>
      <c r="D177" s="155" t="s">
        <v>572</v>
      </c>
      <c r="E177" s="155" t="s">
        <v>720</v>
      </c>
    </row>
    <row r="178" spans="1:5">
      <c r="A178" s="155" t="s">
        <v>569</v>
      </c>
      <c r="B178" s="155" t="s">
        <v>623</v>
      </c>
      <c r="C178" s="157">
        <v>0.9</v>
      </c>
      <c r="D178" s="155" t="s">
        <v>572</v>
      </c>
      <c r="E178" s="155"/>
    </row>
    <row r="179" spans="1:5">
      <c r="A179" s="155" t="s">
        <v>570</v>
      </c>
      <c r="B179" s="155" t="s">
        <v>624</v>
      </c>
      <c r="C179" s="155">
        <v>20</v>
      </c>
      <c r="D179" s="155" t="s">
        <v>571</v>
      </c>
      <c r="E179" s="157"/>
    </row>
  </sheetData>
  <sheetProtection password="CAF5" sheet="1" objects="1" scenarios="1"/>
  <pageMargins left="0.511811024" right="0.511811024" top="0.78740157499999996" bottom="0.78740157499999996" header="0.31496062000000002" footer="0.31496062000000002"/>
  <pageSetup paperSize="11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dimension ref="A1:P130"/>
  <sheetViews>
    <sheetView workbookViewId="0">
      <selection activeCell="A131" sqref="A131"/>
    </sheetView>
  </sheetViews>
  <sheetFormatPr defaultColWidth="8.85546875" defaultRowHeight="15"/>
  <cols>
    <col min="1" max="1" width="19.85546875" customWidth="1"/>
    <col min="2" max="2" width="10.42578125" bestFit="1" customWidth="1"/>
    <col min="3" max="3" width="10.28515625" bestFit="1" customWidth="1"/>
    <col min="4" max="6" width="10.42578125" bestFit="1" customWidth="1"/>
    <col min="7" max="7" width="12" customWidth="1"/>
    <col min="8" max="9" width="10.28515625" bestFit="1" customWidth="1"/>
    <col min="10" max="10" width="10.85546875" customWidth="1"/>
    <col min="11" max="12" width="10.28515625" bestFit="1" customWidth="1"/>
    <col min="13" max="13" width="9.42578125" customWidth="1"/>
    <col min="14" max="16" width="9.42578125" bestFit="1" customWidth="1"/>
    <col min="17" max="17" width="9.85546875" customWidth="1"/>
  </cols>
  <sheetData>
    <row r="1" spans="1:16">
      <c r="A1" s="143" t="s">
        <v>705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</row>
    <row r="2" spans="1:16">
      <c r="A2" s="142" t="s">
        <v>363</v>
      </c>
      <c r="B2" s="13" t="s">
        <v>341</v>
      </c>
      <c r="C2" s="13" t="s">
        <v>342</v>
      </c>
      <c r="D2" s="13" t="s">
        <v>343</v>
      </c>
      <c r="E2" s="13" t="s">
        <v>344</v>
      </c>
      <c r="F2" s="13" t="s">
        <v>345</v>
      </c>
      <c r="G2" s="13" t="s">
        <v>346</v>
      </c>
      <c r="H2" s="13" t="s">
        <v>347</v>
      </c>
      <c r="I2" s="13" t="s">
        <v>348</v>
      </c>
      <c r="J2" s="13" t="s">
        <v>349</v>
      </c>
      <c r="K2" s="13" t="s">
        <v>350</v>
      </c>
      <c r="L2" s="13" t="s">
        <v>351</v>
      </c>
      <c r="M2" s="13" t="s">
        <v>352</v>
      </c>
      <c r="N2" s="13" t="s">
        <v>353</v>
      </c>
      <c r="O2" s="13" t="s">
        <v>354</v>
      </c>
      <c r="P2" s="13" t="s">
        <v>355</v>
      </c>
    </row>
    <row r="3" spans="1:16">
      <c r="A3">
        <v>0.05</v>
      </c>
      <c r="B3" s="79">
        <v>0</v>
      </c>
      <c r="C3" s="80">
        <v>81.09</v>
      </c>
      <c r="D3" s="80">
        <v>17790000</v>
      </c>
      <c r="E3" s="80">
        <v>0.85970000000000002</v>
      </c>
      <c r="F3" s="80">
        <v>1007</v>
      </c>
      <c r="G3" s="80">
        <v>29440000</v>
      </c>
      <c r="H3" s="80">
        <v>1007</v>
      </c>
      <c r="I3" s="80">
        <v>884900</v>
      </c>
      <c r="J3" s="6">
        <v>33330000</v>
      </c>
      <c r="K3" s="80">
        <v>363800</v>
      </c>
      <c r="L3" s="80">
        <v>242600</v>
      </c>
      <c r="M3" s="80">
        <v>1490000</v>
      </c>
      <c r="N3" s="80">
        <v>884000</v>
      </c>
      <c r="O3" s="80">
        <v>16750000</v>
      </c>
      <c r="P3" s="80">
        <v>17790000</v>
      </c>
    </row>
    <row r="4" spans="1:16">
      <c r="A4">
        <v>0.1</v>
      </c>
      <c r="B4" s="79">
        <v>0</v>
      </c>
      <c r="C4" s="80">
        <v>65.5</v>
      </c>
      <c r="D4" s="80">
        <v>11860000</v>
      </c>
      <c r="E4" s="80">
        <v>0.77280000000000004</v>
      </c>
      <c r="F4" s="80">
        <v>673.8</v>
      </c>
      <c r="G4" s="80">
        <v>19250000</v>
      </c>
      <c r="H4" s="80">
        <v>673.8</v>
      </c>
      <c r="I4" s="80">
        <v>528900</v>
      </c>
      <c r="J4" s="6">
        <v>20580000</v>
      </c>
      <c r="K4" s="80">
        <v>196100</v>
      </c>
      <c r="L4" s="80">
        <v>126500</v>
      </c>
      <c r="M4" s="80">
        <v>832000</v>
      </c>
      <c r="N4" s="80">
        <v>463300</v>
      </c>
      <c r="O4" s="80">
        <v>10240000</v>
      </c>
      <c r="P4" s="80">
        <v>11860000</v>
      </c>
    </row>
    <row r="5" spans="1:16">
      <c r="A5">
        <v>0.2</v>
      </c>
      <c r="B5" s="79">
        <v>0</v>
      </c>
      <c r="C5" s="80">
        <v>50.8</v>
      </c>
      <c r="D5" s="80">
        <v>6334000</v>
      </c>
      <c r="E5" s="80">
        <v>0.66400000000000003</v>
      </c>
      <c r="F5" s="80">
        <v>374.5</v>
      </c>
      <c r="G5" s="80">
        <v>9981000</v>
      </c>
      <c r="H5" s="80">
        <v>374.5</v>
      </c>
      <c r="I5" s="80">
        <v>245500</v>
      </c>
      <c r="J5" s="80">
        <v>10020000</v>
      </c>
      <c r="K5" s="80">
        <v>85430</v>
      </c>
      <c r="L5" s="80">
        <v>57170</v>
      </c>
      <c r="M5" s="80">
        <v>363200</v>
      </c>
      <c r="N5" s="80">
        <v>192900</v>
      </c>
      <c r="O5" s="80">
        <v>4946000</v>
      </c>
      <c r="P5" s="80">
        <v>6334000</v>
      </c>
    </row>
    <row r="6" spans="1:16">
      <c r="A6">
        <v>0.3</v>
      </c>
      <c r="B6" s="79">
        <v>0</v>
      </c>
      <c r="C6" s="80">
        <v>40.409999999999997</v>
      </c>
      <c r="D6" s="80">
        <v>3294000</v>
      </c>
      <c r="E6" s="80">
        <v>0.54700000000000004</v>
      </c>
      <c r="F6" s="80">
        <v>213.7</v>
      </c>
      <c r="G6" s="80">
        <v>5153000</v>
      </c>
      <c r="H6" s="80">
        <v>213.7</v>
      </c>
      <c r="I6" s="80">
        <v>121100</v>
      </c>
      <c r="J6" s="80">
        <v>5068000</v>
      </c>
      <c r="K6" s="80">
        <v>45920</v>
      </c>
      <c r="L6" s="80">
        <v>34310</v>
      </c>
      <c r="M6" s="80">
        <v>182900</v>
      </c>
      <c r="N6" s="80">
        <v>101000</v>
      </c>
      <c r="O6" s="80">
        <v>2516000</v>
      </c>
      <c r="P6" s="80">
        <v>3294000</v>
      </c>
    </row>
    <row r="7" spans="1:16">
      <c r="A7">
        <v>0.4</v>
      </c>
      <c r="B7" s="79">
        <v>0</v>
      </c>
      <c r="C7" s="80">
        <v>32.950000000000003</v>
      </c>
      <c r="D7" s="80">
        <v>1689000</v>
      </c>
      <c r="E7" s="80">
        <v>0.44450000000000001</v>
      </c>
      <c r="F7" s="80">
        <v>127.8</v>
      </c>
      <c r="G7" s="80">
        <v>2665000</v>
      </c>
      <c r="H7" s="80">
        <v>127.8</v>
      </c>
      <c r="I7" s="80">
        <v>62270</v>
      </c>
      <c r="J7" s="80">
        <v>2632000</v>
      </c>
      <c r="K7" s="80">
        <v>28290</v>
      </c>
      <c r="L7" s="80">
        <v>23900</v>
      </c>
      <c r="M7" s="80">
        <v>101800</v>
      </c>
      <c r="N7" s="80">
        <v>61490</v>
      </c>
      <c r="O7" s="80">
        <v>1327000</v>
      </c>
      <c r="P7" s="80">
        <v>1689000</v>
      </c>
    </row>
    <row r="8" spans="1:16">
      <c r="A8">
        <v>0.5</v>
      </c>
      <c r="B8" s="79">
        <v>0</v>
      </c>
      <c r="C8" s="80">
        <v>27.92</v>
      </c>
      <c r="D8" s="80">
        <v>879300</v>
      </c>
      <c r="E8" s="80">
        <v>0.36359999999999998</v>
      </c>
      <c r="F8" s="80">
        <v>83.21</v>
      </c>
      <c r="G8" s="80">
        <v>1411000</v>
      </c>
      <c r="H8" s="80">
        <v>83.21</v>
      </c>
      <c r="I8" s="80">
        <v>33460</v>
      </c>
      <c r="J8" s="80">
        <v>1415000</v>
      </c>
      <c r="K8" s="80">
        <v>19120</v>
      </c>
      <c r="L8" s="80">
        <v>17950</v>
      </c>
      <c r="M8" s="80">
        <v>61510</v>
      </c>
      <c r="N8" s="80">
        <v>41280</v>
      </c>
      <c r="O8" s="80">
        <v>731700</v>
      </c>
      <c r="P8" s="80">
        <v>879300</v>
      </c>
    </row>
    <row r="9" spans="1:16">
      <c r="A9">
        <v>0.6</v>
      </c>
      <c r="B9" s="79">
        <v>0</v>
      </c>
      <c r="C9" s="80">
        <v>24.73</v>
      </c>
      <c r="D9" s="80">
        <v>491300</v>
      </c>
      <c r="E9" s="80">
        <v>0.30459999999999998</v>
      </c>
      <c r="F9" s="80">
        <v>60.76</v>
      </c>
      <c r="G9" s="80">
        <v>803600</v>
      </c>
      <c r="H9" s="80">
        <v>60.76</v>
      </c>
      <c r="I9" s="80">
        <v>19610</v>
      </c>
      <c r="J9" s="80">
        <v>822100</v>
      </c>
      <c r="K9" s="80">
        <v>13880</v>
      </c>
      <c r="L9" s="80">
        <v>14050</v>
      </c>
      <c r="M9" s="80">
        <v>40610</v>
      </c>
      <c r="N9" s="80">
        <v>29850</v>
      </c>
      <c r="O9" s="80">
        <v>437400</v>
      </c>
      <c r="P9" s="80">
        <v>491300</v>
      </c>
    </row>
    <row r="10" spans="1:16">
      <c r="A10">
        <v>0.8</v>
      </c>
      <c r="B10" s="79">
        <v>0</v>
      </c>
      <c r="C10" s="80">
        <v>21.31</v>
      </c>
      <c r="D10" s="80">
        <v>219900</v>
      </c>
      <c r="E10" s="80">
        <v>0.23169999999999999</v>
      </c>
      <c r="F10" s="80">
        <v>43.1</v>
      </c>
      <c r="G10" s="80">
        <v>372800</v>
      </c>
      <c r="H10" s="80">
        <v>43.1</v>
      </c>
      <c r="I10" s="80">
        <v>9914</v>
      </c>
      <c r="J10" s="80">
        <v>394300</v>
      </c>
      <c r="K10" s="80">
        <v>8918</v>
      </c>
      <c r="L10" s="80">
        <v>9727</v>
      </c>
      <c r="M10" s="80">
        <v>23250</v>
      </c>
      <c r="N10" s="80">
        <v>18860</v>
      </c>
      <c r="O10" s="80">
        <v>217100</v>
      </c>
      <c r="P10" s="80">
        <v>219900</v>
      </c>
    </row>
    <row r="11" spans="1:16">
      <c r="A11">
        <v>1</v>
      </c>
      <c r="B11" s="79">
        <v>0</v>
      </c>
      <c r="C11" s="80">
        <v>19.38</v>
      </c>
      <c r="D11" s="80">
        <v>133600</v>
      </c>
      <c r="E11" s="80">
        <v>0.18459999999999999</v>
      </c>
      <c r="F11" s="80">
        <v>36.61</v>
      </c>
      <c r="G11" s="80">
        <v>231200</v>
      </c>
      <c r="H11" s="80">
        <v>36.61</v>
      </c>
      <c r="I11" s="80">
        <v>6724</v>
      </c>
      <c r="J11" s="80">
        <v>249400</v>
      </c>
      <c r="K11" s="80">
        <v>6569</v>
      </c>
      <c r="L11" s="80">
        <v>7368</v>
      </c>
      <c r="M11" s="80">
        <v>16220</v>
      </c>
      <c r="N11" s="80">
        <v>13670</v>
      </c>
      <c r="O11" s="80">
        <v>139200</v>
      </c>
      <c r="P11" s="80">
        <v>133600</v>
      </c>
    </row>
    <row r="12" spans="1:16">
      <c r="A12">
        <v>1.5</v>
      </c>
      <c r="B12" s="79">
        <v>0</v>
      </c>
      <c r="C12" s="80">
        <v>16.739999999999998</v>
      </c>
      <c r="D12" s="80">
        <v>63730</v>
      </c>
      <c r="E12" s="80">
        <v>0.123</v>
      </c>
      <c r="F12" s="80">
        <v>31.01</v>
      </c>
      <c r="G12" s="80">
        <v>109300</v>
      </c>
      <c r="H12" s="80">
        <v>31.01</v>
      </c>
      <c r="I12" s="80">
        <v>3832</v>
      </c>
      <c r="J12" s="80">
        <v>119500</v>
      </c>
      <c r="K12" s="80">
        <v>3778</v>
      </c>
      <c r="L12" s="80">
        <v>4325</v>
      </c>
      <c r="M12" s="80">
        <v>8897</v>
      </c>
      <c r="N12" s="80">
        <v>7705</v>
      </c>
      <c r="O12" s="80">
        <v>67520</v>
      </c>
      <c r="P12" s="80">
        <v>63730</v>
      </c>
    </row>
    <row r="13" spans="1:16">
      <c r="A13">
        <v>2</v>
      </c>
      <c r="B13" s="79">
        <v>0</v>
      </c>
      <c r="C13" s="80">
        <v>15.32</v>
      </c>
      <c r="D13" s="80">
        <v>42750</v>
      </c>
      <c r="E13" s="80">
        <v>9.8320000000000005E-2</v>
      </c>
      <c r="F13" s="80">
        <v>28.96</v>
      </c>
      <c r="G13" s="80">
        <v>70660</v>
      </c>
      <c r="H13" s="80">
        <v>28.96</v>
      </c>
      <c r="I13" s="80">
        <v>2848</v>
      </c>
      <c r="J13" s="80">
        <v>76420</v>
      </c>
      <c r="K13" s="80">
        <v>2559</v>
      </c>
      <c r="L13" s="80">
        <v>2875</v>
      </c>
      <c r="M13" s="80">
        <v>5963</v>
      </c>
      <c r="N13" s="80">
        <v>5074</v>
      </c>
      <c r="O13" s="80">
        <v>42650</v>
      </c>
      <c r="P13" s="80">
        <v>42750</v>
      </c>
    </row>
    <row r="14" spans="1:16">
      <c r="A14">
        <v>2.5</v>
      </c>
      <c r="B14" s="79">
        <v>0</v>
      </c>
      <c r="C14" s="80">
        <v>14.34</v>
      </c>
      <c r="D14" s="80">
        <v>33730</v>
      </c>
      <c r="E14" s="80">
        <v>8.4820000000000007E-2</v>
      </c>
      <c r="F14" s="80">
        <v>27.69</v>
      </c>
      <c r="G14" s="80">
        <v>53610</v>
      </c>
      <c r="H14" s="80">
        <v>27.69</v>
      </c>
      <c r="I14" s="80">
        <v>2366</v>
      </c>
      <c r="J14" s="80">
        <v>56550</v>
      </c>
      <c r="K14" s="80">
        <v>1856</v>
      </c>
      <c r="L14" s="80">
        <v>2021</v>
      </c>
      <c r="M14" s="80">
        <v>4356</v>
      </c>
      <c r="N14" s="80">
        <v>3559</v>
      </c>
      <c r="O14" s="80">
        <v>30690</v>
      </c>
      <c r="P14" s="80">
        <v>33730</v>
      </c>
    </row>
    <row r="15" spans="1:16">
      <c r="A15">
        <v>3</v>
      </c>
      <c r="B15" s="79">
        <v>0</v>
      </c>
      <c r="C15" s="80">
        <v>13.62</v>
      </c>
      <c r="D15" s="80">
        <v>28790</v>
      </c>
      <c r="E15" s="80">
        <v>7.535E-2</v>
      </c>
      <c r="F15" s="80">
        <v>26.68</v>
      </c>
      <c r="G15" s="80">
        <v>44190</v>
      </c>
      <c r="H15" s="80">
        <v>26.68</v>
      </c>
      <c r="I15" s="80">
        <v>2071</v>
      </c>
      <c r="J15" s="80">
        <v>45160</v>
      </c>
      <c r="K15" s="80">
        <v>1386</v>
      </c>
      <c r="L15" s="80">
        <v>1461</v>
      </c>
      <c r="M15" s="80">
        <v>3327</v>
      </c>
      <c r="N15" s="80">
        <v>2576</v>
      </c>
      <c r="O15" s="80">
        <v>23680</v>
      </c>
      <c r="P15" s="80">
        <v>28790</v>
      </c>
    </row>
    <row r="16" spans="1:16">
      <c r="A16">
        <v>4</v>
      </c>
      <c r="B16" s="79">
        <v>0</v>
      </c>
      <c r="C16" s="80">
        <v>12.66</v>
      </c>
      <c r="D16" s="80">
        <v>23160</v>
      </c>
      <c r="E16" s="80">
        <v>5.4300000000000001E-2</v>
      </c>
      <c r="F16" s="80">
        <v>25</v>
      </c>
      <c r="G16" s="80">
        <v>33790</v>
      </c>
      <c r="H16" s="80">
        <v>25</v>
      </c>
      <c r="I16" s="80">
        <v>1727</v>
      </c>
      <c r="J16" s="80">
        <v>32680</v>
      </c>
      <c r="K16" s="80">
        <v>872.6</v>
      </c>
      <c r="L16" s="80">
        <v>857.1</v>
      </c>
      <c r="M16" s="80">
        <v>2214</v>
      </c>
      <c r="N16" s="80">
        <v>1526</v>
      </c>
      <c r="O16" s="80">
        <v>16140</v>
      </c>
      <c r="P16" s="80">
        <v>23160</v>
      </c>
    </row>
    <row r="17" spans="1:16">
      <c r="A17">
        <v>5</v>
      </c>
      <c r="B17" s="79">
        <v>0</v>
      </c>
      <c r="C17" s="80">
        <v>11.84</v>
      </c>
      <c r="D17" s="80">
        <v>19800</v>
      </c>
      <c r="E17" s="80">
        <v>3.594E-2</v>
      </c>
      <c r="F17" s="80">
        <v>23.78</v>
      </c>
      <c r="G17" s="80">
        <v>27840</v>
      </c>
      <c r="H17" s="80">
        <v>23.78</v>
      </c>
      <c r="I17" s="80">
        <v>1525</v>
      </c>
      <c r="J17" s="80">
        <v>25960</v>
      </c>
      <c r="K17" s="80">
        <v>619.1</v>
      </c>
      <c r="L17" s="80">
        <v>567.79999999999995</v>
      </c>
      <c r="M17" s="80">
        <v>1667</v>
      </c>
      <c r="N17" s="80">
        <v>1033</v>
      </c>
      <c r="O17" s="80">
        <v>12240</v>
      </c>
      <c r="P17" s="80">
        <v>19800</v>
      </c>
    </row>
    <row r="18" spans="1:16">
      <c r="A18">
        <v>6</v>
      </c>
      <c r="B18" s="79">
        <v>0</v>
      </c>
      <c r="C18" s="80">
        <v>11.24</v>
      </c>
      <c r="D18" s="83">
        <v>17910</v>
      </c>
      <c r="E18" s="83">
        <v>2.0750000000000001E-2</v>
      </c>
      <c r="F18" s="83">
        <v>23.08</v>
      </c>
      <c r="G18" s="83">
        <v>24650</v>
      </c>
      <c r="H18" s="83">
        <v>23.08</v>
      </c>
      <c r="I18" s="83">
        <v>1414</v>
      </c>
      <c r="J18" s="83">
        <v>22620</v>
      </c>
      <c r="K18" s="83">
        <v>484.6</v>
      </c>
      <c r="L18" s="83">
        <v>416.5</v>
      </c>
      <c r="M18" s="83">
        <v>1387</v>
      </c>
      <c r="N18" s="83">
        <v>786.2</v>
      </c>
      <c r="O18" s="83">
        <v>10320</v>
      </c>
      <c r="P18" s="83">
        <v>17190</v>
      </c>
    </row>
    <row r="19" spans="1:16">
      <c r="A19">
        <v>7</v>
      </c>
      <c r="B19" s="79">
        <v>0</v>
      </c>
      <c r="C19" s="80">
        <v>10.65</v>
      </c>
      <c r="D19" s="83">
        <v>16990</v>
      </c>
      <c r="E19" s="83">
        <v>8.1580000000000003E-3</v>
      </c>
      <c r="F19" s="83">
        <v>22.64</v>
      </c>
      <c r="G19" s="83">
        <v>22740</v>
      </c>
      <c r="H19" s="83">
        <v>22.64</v>
      </c>
      <c r="I19" s="83">
        <v>1339</v>
      </c>
      <c r="J19" s="83">
        <v>20760</v>
      </c>
      <c r="K19" s="83">
        <v>398.7</v>
      </c>
      <c r="L19" s="83">
        <v>323.3</v>
      </c>
      <c r="M19" s="83">
        <v>1217</v>
      </c>
      <c r="N19" s="83">
        <v>642.79999999999995</v>
      </c>
      <c r="O19" s="83">
        <v>9272</v>
      </c>
      <c r="P19" s="83">
        <v>16690</v>
      </c>
    </row>
    <row r="20" spans="1:16">
      <c r="A20">
        <v>8</v>
      </c>
      <c r="B20" s="79">
        <v>0</v>
      </c>
      <c r="C20" s="80">
        <v>10.15</v>
      </c>
      <c r="D20" s="83">
        <v>15830</v>
      </c>
      <c r="E20" s="83">
        <v>1.8680000000000001E-3</v>
      </c>
      <c r="F20" s="83">
        <v>22.38</v>
      </c>
      <c r="G20" s="83">
        <v>21440</v>
      </c>
      <c r="H20" s="83">
        <v>22.38</v>
      </c>
      <c r="I20" s="83">
        <v>1281</v>
      </c>
      <c r="J20" s="83">
        <v>19530</v>
      </c>
      <c r="K20" s="83">
        <v>341.9</v>
      </c>
      <c r="L20" s="83">
        <v>264.39999999999998</v>
      </c>
      <c r="M20" s="83">
        <v>1104</v>
      </c>
      <c r="N20" s="83">
        <v>555.20000000000005</v>
      </c>
      <c r="O20" s="83">
        <v>8607</v>
      </c>
      <c r="P20" s="83">
        <v>15830</v>
      </c>
    </row>
    <row r="21" spans="1:16">
      <c r="A21">
        <v>9</v>
      </c>
      <c r="B21" s="79">
        <v>0</v>
      </c>
      <c r="C21" s="80">
        <v>9.7050000000000001</v>
      </c>
      <c r="D21" s="83">
        <v>15200</v>
      </c>
      <c r="E21" s="83">
        <v>2.154E-4</v>
      </c>
      <c r="F21" s="83">
        <v>22.25</v>
      </c>
      <c r="G21" s="83">
        <v>20500</v>
      </c>
      <c r="H21" s="83">
        <v>22.25</v>
      </c>
      <c r="I21" s="83">
        <v>1236</v>
      </c>
      <c r="J21" s="83">
        <v>18620</v>
      </c>
      <c r="K21" s="83">
        <v>303.5</v>
      </c>
      <c r="L21" s="83">
        <v>226.4</v>
      </c>
      <c r="M21" s="83">
        <v>1026</v>
      </c>
      <c r="N21" s="83">
        <v>497.9</v>
      </c>
      <c r="O21" s="83">
        <v>8141</v>
      </c>
      <c r="P21" s="83">
        <v>15200</v>
      </c>
    </row>
    <row r="22" spans="1:16">
      <c r="A22">
        <v>10</v>
      </c>
      <c r="B22" s="79">
        <v>0</v>
      </c>
      <c r="C22" s="80">
        <v>9.32</v>
      </c>
      <c r="D22" s="83">
        <v>14540</v>
      </c>
      <c r="E22" s="83">
        <v>1.4019999999999999E-4</v>
      </c>
      <c r="F22" s="83">
        <v>22.08</v>
      </c>
      <c r="G22" s="83">
        <v>19530</v>
      </c>
      <c r="H22" s="83">
        <v>22.08</v>
      </c>
      <c r="I22" s="83">
        <v>1190</v>
      </c>
      <c r="J22" s="83">
        <v>17710</v>
      </c>
      <c r="K22" s="83">
        <v>272.2</v>
      </c>
      <c r="L22" s="83">
        <v>196.4</v>
      </c>
      <c r="M22" s="83">
        <v>957.6</v>
      </c>
      <c r="N22" s="83">
        <v>453</v>
      </c>
      <c r="O22" s="83">
        <v>7693</v>
      </c>
      <c r="P22" s="83">
        <v>14540</v>
      </c>
    </row>
    <row r="23" spans="1:16">
      <c r="A23">
        <v>12</v>
      </c>
      <c r="B23" s="79">
        <v>0</v>
      </c>
      <c r="C23" s="80">
        <v>8.7729999999999997</v>
      </c>
      <c r="D23" s="83">
        <v>13500</v>
      </c>
      <c r="E23" s="83">
        <v>1.1790000000000001E-4</v>
      </c>
      <c r="F23" s="83">
        <v>21.8</v>
      </c>
      <c r="G23" s="83">
        <v>18020</v>
      </c>
      <c r="H23" s="83">
        <v>21.8</v>
      </c>
      <c r="I23" s="83">
        <v>1119</v>
      </c>
      <c r="J23" s="83">
        <v>16330</v>
      </c>
      <c r="K23" s="83">
        <v>229.8</v>
      </c>
      <c r="L23" s="83">
        <v>156.80000000000001</v>
      </c>
      <c r="M23" s="83">
        <v>861.2</v>
      </c>
      <c r="N23" s="83">
        <v>392.8</v>
      </c>
      <c r="O23" s="83">
        <v>7023</v>
      </c>
      <c r="P23" s="83">
        <v>13500</v>
      </c>
    </row>
    <row r="24" spans="1:16">
      <c r="A24">
        <v>14</v>
      </c>
      <c r="B24" s="79">
        <v>0</v>
      </c>
      <c r="C24" s="80">
        <v>8.1679999999999993</v>
      </c>
      <c r="D24" s="83">
        <v>12570</v>
      </c>
      <c r="E24" s="83">
        <v>1.026E-4</v>
      </c>
      <c r="F24" s="83">
        <v>21.34</v>
      </c>
      <c r="G24" s="83">
        <v>16700</v>
      </c>
      <c r="H24" s="83">
        <v>21.34</v>
      </c>
      <c r="I24" s="83">
        <v>1055</v>
      </c>
      <c r="J24" s="83">
        <v>15140</v>
      </c>
      <c r="K24" s="83">
        <v>195.4</v>
      </c>
      <c r="L24" s="83">
        <v>126</v>
      </c>
      <c r="M24" s="83">
        <v>782.6</v>
      </c>
      <c r="N24" s="83">
        <v>342.7</v>
      </c>
      <c r="O24" s="83">
        <v>6461</v>
      </c>
      <c r="P24" s="83">
        <v>12570</v>
      </c>
    </row>
    <row r="25" spans="1:16">
      <c r="A25">
        <v>16</v>
      </c>
      <c r="B25" s="79">
        <v>0</v>
      </c>
      <c r="C25" s="80">
        <v>7.6920000000000002</v>
      </c>
      <c r="D25" s="83">
        <v>11830</v>
      </c>
      <c r="E25" s="83">
        <v>9.5030000000000003E-5</v>
      </c>
      <c r="F25" s="83">
        <v>20.83</v>
      </c>
      <c r="G25" s="83">
        <v>15670</v>
      </c>
      <c r="H25" s="83">
        <v>20.83</v>
      </c>
      <c r="I25" s="83">
        <v>1003</v>
      </c>
      <c r="J25" s="83">
        <v>14230</v>
      </c>
      <c r="K25" s="83">
        <v>170.5</v>
      </c>
      <c r="L25" s="83">
        <v>104</v>
      </c>
      <c r="M25" s="83">
        <v>723.5</v>
      </c>
      <c r="N25" s="83">
        <v>306.7</v>
      </c>
      <c r="O25" s="83">
        <v>6035</v>
      </c>
      <c r="P25" s="83">
        <v>11830</v>
      </c>
    </row>
    <row r="26" spans="1:16">
      <c r="A26">
        <v>18</v>
      </c>
      <c r="B26" s="79">
        <v>0</v>
      </c>
      <c r="C26" s="80">
        <v>7.2030000000000003</v>
      </c>
      <c r="D26" s="83">
        <v>11250</v>
      </c>
      <c r="E26" s="83">
        <v>9.0470000000000006E-5</v>
      </c>
      <c r="F26" s="83">
        <v>20.36</v>
      </c>
      <c r="G26" s="83">
        <v>14870</v>
      </c>
      <c r="H26" s="83">
        <v>20.36</v>
      </c>
      <c r="I26" s="83">
        <v>959.6</v>
      </c>
      <c r="J26" s="83">
        <v>13500</v>
      </c>
      <c r="K26" s="83">
        <v>151.6</v>
      </c>
      <c r="L26" s="83">
        <v>87.95</v>
      </c>
      <c r="M26" s="83">
        <v>677.9</v>
      </c>
      <c r="N26" s="83">
        <v>277.60000000000002</v>
      </c>
      <c r="O26" s="83">
        <v>5703</v>
      </c>
      <c r="P26" s="83">
        <v>11250</v>
      </c>
    </row>
    <row r="27" spans="1:16">
      <c r="A27">
        <v>20</v>
      </c>
      <c r="B27" s="79">
        <v>0</v>
      </c>
      <c r="C27" s="80">
        <v>6.7679999999999998</v>
      </c>
      <c r="D27" s="80">
        <v>10660</v>
      </c>
      <c r="E27" s="80">
        <v>8.5279999999999997E-5</v>
      </c>
      <c r="F27" s="80">
        <v>19.850000000000001</v>
      </c>
      <c r="G27" s="80">
        <v>14050</v>
      </c>
      <c r="H27" s="80">
        <v>19.850000000000001</v>
      </c>
      <c r="I27" s="80">
        <v>913.5</v>
      </c>
      <c r="J27" s="80">
        <v>12730</v>
      </c>
      <c r="K27" s="80">
        <v>135.80000000000001</v>
      </c>
      <c r="L27" s="80">
        <v>74.52</v>
      </c>
      <c r="M27" s="80">
        <v>633.20000000000005</v>
      </c>
      <c r="N27" s="80">
        <v>252.8</v>
      </c>
      <c r="O27" s="80">
        <v>5362</v>
      </c>
      <c r="P27" s="80">
        <v>10660</v>
      </c>
    </row>
    <row r="28" spans="1:16">
      <c r="A28">
        <v>25</v>
      </c>
      <c r="B28" s="80"/>
      <c r="C28" s="80"/>
      <c r="D28" s="80">
        <v>9625</v>
      </c>
      <c r="E28" s="80"/>
      <c r="F28" s="80"/>
      <c r="G28" s="80">
        <v>12600</v>
      </c>
      <c r="H28" s="80"/>
      <c r="I28" s="80"/>
      <c r="J28" s="80">
        <v>11200</v>
      </c>
      <c r="K28" s="80"/>
      <c r="L28" s="80"/>
      <c r="M28" s="80"/>
      <c r="N28" s="80"/>
      <c r="O28" s="80">
        <v>4746</v>
      </c>
      <c r="P28" s="80">
        <v>3366</v>
      </c>
    </row>
    <row r="29" spans="1:16">
      <c r="A29">
        <v>30</v>
      </c>
      <c r="B29" s="80"/>
      <c r="C29" s="80"/>
      <c r="D29" s="80">
        <v>8635</v>
      </c>
      <c r="E29" s="80"/>
      <c r="F29" s="80"/>
      <c r="G29" s="80">
        <v>11220</v>
      </c>
      <c r="H29" s="80"/>
      <c r="I29" s="80"/>
      <c r="J29" s="80">
        <v>10010</v>
      </c>
      <c r="K29" s="80"/>
      <c r="L29" s="80"/>
      <c r="M29" s="80"/>
      <c r="N29" s="80"/>
      <c r="O29" s="80">
        <v>4174</v>
      </c>
      <c r="P29" s="80">
        <v>2969</v>
      </c>
    </row>
    <row r="30" spans="1:16">
      <c r="A30">
        <v>35</v>
      </c>
      <c r="B30" s="80"/>
      <c r="C30" s="80"/>
      <c r="D30" s="80">
        <v>7842</v>
      </c>
      <c r="E30" s="80"/>
      <c r="F30" s="80"/>
      <c r="G30" s="80">
        <v>10130</v>
      </c>
      <c r="H30" s="80"/>
      <c r="I30" s="80"/>
      <c r="J30" s="80">
        <v>8913</v>
      </c>
      <c r="K30" s="80"/>
      <c r="L30" s="80"/>
      <c r="M30" s="80"/>
      <c r="N30" s="80"/>
      <c r="O30" s="80">
        <v>3721</v>
      </c>
      <c r="P30" s="80">
        <v>2655</v>
      </c>
    </row>
    <row r="31" spans="1:16">
      <c r="A31">
        <v>40</v>
      </c>
      <c r="B31" s="80"/>
      <c r="C31" s="80"/>
      <c r="D31" s="80">
        <v>7234</v>
      </c>
      <c r="E31" s="80"/>
      <c r="F31" s="80"/>
      <c r="G31" s="80">
        <v>9293</v>
      </c>
      <c r="H31" s="80"/>
      <c r="I31" s="80"/>
      <c r="J31" s="80">
        <v>8119</v>
      </c>
      <c r="K31" s="80"/>
      <c r="L31" s="80"/>
      <c r="M31" s="80"/>
      <c r="N31" s="80"/>
      <c r="O31" s="80">
        <v>3384</v>
      </c>
      <c r="P31" s="80">
        <v>2421</v>
      </c>
    </row>
    <row r="32" spans="1:16">
      <c r="A32">
        <v>45</v>
      </c>
      <c r="B32" s="80"/>
      <c r="C32" s="80"/>
      <c r="D32" s="80">
        <v>6668</v>
      </c>
      <c r="E32" s="80"/>
      <c r="F32" s="80"/>
      <c r="G32" s="80">
        <v>8522</v>
      </c>
      <c r="H32" s="80"/>
      <c r="I32" s="80"/>
      <c r="J32" s="80">
        <v>7389</v>
      </c>
      <c r="K32" s="80"/>
      <c r="L32" s="80"/>
      <c r="M32" s="80"/>
      <c r="N32" s="80"/>
      <c r="O32" s="80">
        <v>3079</v>
      </c>
      <c r="P32" s="80">
        <v>2208</v>
      </c>
    </row>
    <row r="33" spans="1:16">
      <c r="A33">
        <v>50</v>
      </c>
      <c r="B33" s="80"/>
      <c r="C33" s="80"/>
      <c r="D33" s="80">
        <v>6182</v>
      </c>
      <c r="E33" s="80"/>
      <c r="F33" s="80"/>
      <c r="G33" s="80">
        <v>7863</v>
      </c>
      <c r="H33" s="80"/>
      <c r="I33" s="80"/>
      <c r="J33" s="80">
        <v>6773</v>
      </c>
      <c r="K33" s="80"/>
      <c r="L33" s="80"/>
      <c r="M33" s="80"/>
      <c r="N33" s="80"/>
      <c r="O33" s="80">
        <v>2821</v>
      </c>
      <c r="P33" s="80">
        <v>2028</v>
      </c>
    </row>
    <row r="34" spans="1:16">
      <c r="A34" s="143" t="s">
        <v>702</v>
      </c>
      <c r="B34" s="143"/>
      <c r="C34" s="143"/>
      <c r="D34" s="143"/>
      <c r="E34" s="143"/>
      <c r="F34" s="143"/>
      <c r="G34" s="143"/>
      <c r="H34" s="143"/>
      <c r="I34" s="143"/>
      <c r="J34" s="143"/>
      <c r="K34" s="143"/>
    </row>
    <row r="35" spans="1:16">
      <c r="A35" s="142" t="s">
        <v>363</v>
      </c>
      <c r="B35" s="13">
        <v>400</v>
      </c>
      <c r="C35" s="13">
        <v>700</v>
      </c>
      <c r="D35" s="13">
        <v>1500</v>
      </c>
      <c r="E35" s="156">
        <v>400</v>
      </c>
      <c r="F35" s="156">
        <v>700</v>
      </c>
      <c r="G35" s="156">
        <v>1500</v>
      </c>
      <c r="H35" s="156">
        <v>400</v>
      </c>
      <c r="I35" s="156">
        <v>700</v>
      </c>
      <c r="J35" s="156">
        <v>1500</v>
      </c>
      <c r="K35" s="13">
        <v>400</v>
      </c>
      <c r="L35" s="13">
        <v>700</v>
      </c>
      <c r="M35" s="13">
        <v>1500</v>
      </c>
      <c r="N35" s="13">
        <v>400</v>
      </c>
      <c r="O35" s="13">
        <v>700</v>
      </c>
      <c r="P35" s="13">
        <v>1500</v>
      </c>
    </row>
    <row r="36" spans="1:16">
      <c r="A36">
        <v>0.05</v>
      </c>
      <c r="B36" s="80">
        <f t="shared" ref="B36:K36" si="0">+Vu*B3*TIDMg</f>
        <v>0</v>
      </c>
      <c r="C36" s="80">
        <f t="shared" si="0"/>
        <v>324.36</v>
      </c>
      <c r="D36" s="80">
        <f t="shared" si="0"/>
        <v>71160000</v>
      </c>
      <c r="E36" s="80">
        <f t="shared" si="0"/>
        <v>3.4388000000000001</v>
      </c>
      <c r="F36" s="80">
        <f t="shared" si="0"/>
        <v>4028</v>
      </c>
      <c r="G36" s="80">
        <f t="shared" si="0"/>
        <v>117760000</v>
      </c>
      <c r="H36" s="80">
        <f t="shared" si="0"/>
        <v>4028</v>
      </c>
      <c r="I36" s="80">
        <f t="shared" si="0"/>
        <v>3539600</v>
      </c>
      <c r="J36" s="80">
        <f t="shared" si="0"/>
        <v>133320000</v>
      </c>
      <c r="K36" s="80">
        <f t="shared" si="0"/>
        <v>1455200</v>
      </c>
      <c r="L36" s="80">
        <f t="shared" ref="L36:L60" si="1">+Vu*M3*TIDMg</f>
        <v>5960000</v>
      </c>
      <c r="M36" s="80">
        <f t="shared" ref="M36:M66" si="2">+Vu*O3*TIDMg</f>
        <v>67000000</v>
      </c>
      <c r="N36" s="80">
        <f t="shared" ref="N36:N60" si="3">+Vu*L3*TIDMg</f>
        <v>970400</v>
      </c>
      <c r="O36" s="80">
        <f t="shared" ref="O36:O60" si="4">+Vu*N3*TIDMg</f>
        <v>3536000</v>
      </c>
      <c r="P36" s="80">
        <f t="shared" ref="P36:P66" si="5">+Vu*P3*TIDMg</f>
        <v>71160000</v>
      </c>
    </row>
    <row r="37" spans="1:16">
      <c r="A37">
        <v>0.1</v>
      </c>
      <c r="B37" s="80">
        <f t="shared" ref="B37:K37" si="6">+Vu*B4*TIDMg</f>
        <v>0</v>
      </c>
      <c r="C37" s="80">
        <f t="shared" si="6"/>
        <v>262</v>
      </c>
      <c r="D37" s="80">
        <f t="shared" si="6"/>
        <v>47440000</v>
      </c>
      <c r="E37" s="80">
        <f t="shared" si="6"/>
        <v>3.0912000000000002</v>
      </c>
      <c r="F37" s="80">
        <f t="shared" si="6"/>
        <v>2695.2</v>
      </c>
      <c r="G37" s="80">
        <f t="shared" si="6"/>
        <v>77000000</v>
      </c>
      <c r="H37" s="80">
        <f t="shared" si="6"/>
        <v>2695.2</v>
      </c>
      <c r="I37" s="80">
        <f t="shared" si="6"/>
        <v>2115600</v>
      </c>
      <c r="J37" s="80">
        <f t="shared" si="6"/>
        <v>82320000</v>
      </c>
      <c r="K37" s="80">
        <f t="shared" si="6"/>
        <v>784400</v>
      </c>
      <c r="L37" s="80">
        <f t="shared" si="1"/>
        <v>3328000</v>
      </c>
      <c r="M37" s="80">
        <f t="shared" si="2"/>
        <v>40960000</v>
      </c>
      <c r="N37" s="80">
        <f t="shared" si="3"/>
        <v>506000</v>
      </c>
      <c r="O37" s="80">
        <f t="shared" si="4"/>
        <v>1853200</v>
      </c>
      <c r="P37" s="80">
        <f t="shared" si="5"/>
        <v>47440000</v>
      </c>
    </row>
    <row r="38" spans="1:16">
      <c r="A38">
        <v>0.2</v>
      </c>
      <c r="B38" s="80">
        <f t="shared" ref="B38:K38" si="7">+Vu*B5*TIDMg</f>
        <v>0</v>
      </c>
      <c r="C38" s="80">
        <f t="shared" si="7"/>
        <v>203.2</v>
      </c>
      <c r="D38" s="80">
        <f t="shared" si="7"/>
        <v>25336000</v>
      </c>
      <c r="E38" s="80">
        <f t="shared" si="7"/>
        <v>2.6560000000000001</v>
      </c>
      <c r="F38" s="80">
        <f t="shared" si="7"/>
        <v>1498</v>
      </c>
      <c r="G38" s="80">
        <f t="shared" si="7"/>
        <v>39924000</v>
      </c>
      <c r="H38" s="80">
        <f t="shared" si="7"/>
        <v>1498</v>
      </c>
      <c r="I38" s="80">
        <f t="shared" si="7"/>
        <v>982000</v>
      </c>
      <c r="J38" s="80">
        <f t="shared" si="7"/>
        <v>40080000</v>
      </c>
      <c r="K38" s="80">
        <f t="shared" si="7"/>
        <v>341720</v>
      </c>
      <c r="L38" s="80">
        <f t="shared" si="1"/>
        <v>1452800</v>
      </c>
      <c r="M38" s="80">
        <f t="shared" si="2"/>
        <v>19784000</v>
      </c>
      <c r="N38" s="80">
        <f t="shared" si="3"/>
        <v>228680</v>
      </c>
      <c r="O38" s="80">
        <f t="shared" si="4"/>
        <v>771600</v>
      </c>
      <c r="P38" s="80">
        <f t="shared" si="5"/>
        <v>25336000</v>
      </c>
    </row>
    <row r="39" spans="1:16">
      <c r="A39">
        <v>0.3</v>
      </c>
      <c r="B39" s="80">
        <f t="shared" ref="B39:K39" si="8">+Vu*B6*TIDMg</f>
        <v>0</v>
      </c>
      <c r="C39" s="80">
        <f t="shared" si="8"/>
        <v>161.63999999999999</v>
      </c>
      <c r="D39" s="80">
        <f t="shared" si="8"/>
        <v>13176000</v>
      </c>
      <c r="E39" s="80">
        <f t="shared" si="8"/>
        <v>2.1880000000000002</v>
      </c>
      <c r="F39" s="80">
        <f t="shared" si="8"/>
        <v>854.8</v>
      </c>
      <c r="G39" s="80">
        <f t="shared" si="8"/>
        <v>20612000</v>
      </c>
      <c r="H39" s="80">
        <f t="shared" si="8"/>
        <v>854.8</v>
      </c>
      <c r="I39" s="80">
        <f t="shared" si="8"/>
        <v>484400</v>
      </c>
      <c r="J39" s="80">
        <f t="shared" si="8"/>
        <v>20272000</v>
      </c>
      <c r="K39" s="80">
        <f t="shared" si="8"/>
        <v>183680</v>
      </c>
      <c r="L39" s="80">
        <f t="shared" si="1"/>
        <v>731600</v>
      </c>
      <c r="M39" s="80">
        <f t="shared" si="2"/>
        <v>10064000</v>
      </c>
      <c r="N39" s="80">
        <f t="shared" si="3"/>
        <v>137240</v>
      </c>
      <c r="O39" s="80">
        <f t="shared" si="4"/>
        <v>404000</v>
      </c>
      <c r="P39" s="80">
        <f t="shared" si="5"/>
        <v>13176000</v>
      </c>
    </row>
    <row r="40" spans="1:16">
      <c r="A40">
        <v>0.4</v>
      </c>
      <c r="B40" s="80">
        <f t="shared" ref="B40:K40" si="9">+Vu*B7*TIDMg</f>
        <v>0</v>
      </c>
      <c r="C40" s="80">
        <f t="shared" si="9"/>
        <v>131.80000000000001</v>
      </c>
      <c r="D40" s="80">
        <f t="shared" si="9"/>
        <v>6756000</v>
      </c>
      <c r="E40" s="80">
        <f t="shared" si="9"/>
        <v>1.778</v>
      </c>
      <c r="F40" s="80">
        <f t="shared" si="9"/>
        <v>511.2</v>
      </c>
      <c r="G40" s="80">
        <f t="shared" si="9"/>
        <v>10660000</v>
      </c>
      <c r="H40" s="80">
        <f t="shared" si="9"/>
        <v>511.2</v>
      </c>
      <c r="I40" s="80">
        <f t="shared" si="9"/>
        <v>249080</v>
      </c>
      <c r="J40" s="80">
        <f t="shared" si="9"/>
        <v>10528000</v>
      </c>
      <c r="K40" s="80">
        <f t="shared" si="9"/>
        <v>113160</v>
      </c>
      <c r="L40" s="80">
        <f t="shared" si="1"/>
        <v>407200</v>
      </c>
      <c r="M40" s="80">
        <f t="shared" si="2"/>
        <v>5308000</v>
      </c>
      <c r="N40" s="80">
        <f t="shared" si="3"/>
        <v>95600</v>
      </c>
      <c r="O40" s="80">
        <f t="shared" si="4"/>
        <v>245960</v>
      </c>
      <c r="P40" s="80">
        <f t="shared" si="5"/>
        <v>6756000</v>
      </c>
    </row>
    <row r="41" spans="1:16">
      <c r="A41">
        <v>0.5</v>
      </c>
      <c r="B41" s="80">
        <f t="shared" ref="B41:K41" si="10">+Vu*B8*TIDMg</f>
        <v>0</v>
      </c>
      <c r="C41" s="80">
        <f t="shared" si="10"/>
        <v>111.68</v>
      </c>
      <c r="D41" s="80">
        <f t="shared" si="10"/>
        <v>3517200</v>
      </c>
      <c r="E41" s="80">
        <f t="shared" si="10"/>
        <v>1.4543999999999999</v>
      </c>
      <c r="F41" s="80">
        <f t="shared" si="10"/>
        <v>332.84</v>
      </c>
      <c r="G41" s="80">
        <f t="shared" si="10"/>
        <v>5644000</v>
      </c>
      <c r="H41" s="80">
        <f t="shared" si="10"/>
        <v>332.84</v>
      </c>
      <c r="I41" s="80">
        <f t="shared" si="10"/>
        <v>133840</v>
      </c>
      <c r="J41" s="80">
        <f t="shared" si="10"/>
        <v>5660000</v>
      </c>
      <c r="K41" s="80">
        <f t="shared" si="10"/>
        <v>76480</v>
      </c>
      <c r="L41" s="80">
        <f t="shared" si="1"/>
        <v>246040</v>
      </c>
      <c r="M41" s="80">
        <f t="shared" si="2"/>
        <v>2926800</v>
      </c>
      <c r="N41" s="80">
        <f t="shared" si="3"/>
        <v>71800</v>
      </c>
      <c r="O41" s="80">
        <f t="shared" si="4"/>
        <v>165120</v>
      </c>
      <c r="P41" s="80">
        <f t="shared" si="5"/>
        <v>3517200</v>
      </c>
    </row>
    <row r="42" spans="1:16">
      <c r="A42">
        <v>0.6</v>
      </c>
      <c r="B42" s="80">
        <f t="shared" ref="B42:K42" si="11">+Vu*B9*TIDMg</f>
        <v>0</v>
      </c>
      <c r="C42" s="80">
        <f t="shared" si="11"/>
        <v>98.92</v>
      </c>
      <c r="D42" s="80">
        <f t="shared" si="11"/>
        <v>1965200</v>
      </c>
      <c r="E42" s="80">
        <f t="shared" si="11"/>
        <v>1.2183999999999999</v>
      </c>
      <c r="F42" s="80">
        <f t="shared" si="11"/>
        <v>243.04</v>
      </c>
      <c r="G42" s="80">
        <f t="shared" si="11"/>
        <v>3214400</v>
      </c>
      <c r="H42" s="80">
        <f t="shared" si="11"/>
        <v>243.04</v>
      </c>
      <c r="I42" s="80">
        <f t="shared" si="11"/>
        <v>78440</v>
      </c>
      <c r="J42" s="80">
        <f t="shared" si="11"/>
        <v>3288400</v>
      </c>
      <c r="K42" s="80">
        <f t="shared" si="11"/>
        <v>55520</v>
      </c>
      <c r="L42" s="80">
        <f t="shared" si="1"/>
        <v>162440</v>
      </c>
      <c r="M42" s="80">
        <f t="shared" si="2"/>
        <v>1749600</v>
      </c>
      <c r="N42" s="80">
        <f t="shared" si="3"/>
        <v>56200</v>
      </c>
      <c r="O42" s="80">
        <f t="shared" si="4"/>
        <v>119400</v>
      </c>
      <c r="P42" s="80">
        <f t="shared" si="5"/>
        <v>1965200</v>
      </c>
    </row>
    <row r="43" spans="1:16">
      <c r="A43">
        <v>0.8</v>
      </c>
      <c r="B43" s="80">
        <f t="shared" ref="B43:K43" si="12">+Vu*B10*TIDMg</f>
        <v>0</v>
      </c>
      <c r="C43" s="80">
        <f t="shared" si="12"/>
        <v>85.24</v>
      </c>
      <c r="D43" s="80">
        <f t="shared" si="12"/>
        <v>879600</v>
      </c>
      <c r="E43" s="80">
        <f t="shared" si="12"/>
        <v>0.92679999999999996</v>
      </c>
      <c r="F43" s="80">
        <f t="shared" si="12"/>
        <v>172.4</v>
      </c>
      <c r="G43" s="80">
        <f t="shared" si="12"/>
        <v>1491200</v>
      </c>
      <c r="H43" s="80">
        <f t="shared" si="12"/>
        <v>172.4</v>
      </c>
      <c r="I43" s="80">
        <f t="shared" si="12"/>
        <v>39656</v>
      </c>
      <c r="J43" s="80">
        <f t="shared" si="12"/>
        <v>1577200</v>
      </c>
      <c r="K43" s="80">
        <f t="shared" si="12"/>
        <v>35672</v>
      </c>
      <c r="L43" s="80">
        <f t="shared" si="1"/>
        <v>93000</v>
      </c>
      <c r="M43" s="80">
        <f t="shared" si="2"/>
        <v>868400</v>
      </c>
      <c r="N43" s="80">
        <f t="shared" si="3"/>
        <v>38908</v>
      </c>
      <c r="O43" s="80">
        <f t="shared" si="4"/>
        <v>75440</v>
      </c>
      <c r="P43" s="80">
        <f t="shared" si="5"/>
        <v>879600</v>
      </c>
    </row>
    <row r="44" spans="1:16">
      <c r="A44">
        <v>1</v>
      </c>
      <c r="B44" s="80">
        <f t="shared" ref="B44:K44" si="13">+Vu*B11*TIDMg</f>
        <v>0</v>
      </c>
      <c r="C44" s="83">
        <f t="shared" si="13"/>
        <v>77.52</v>
      </c>
      <c r="D44" s="80">
        <f t="shared" si="13"/>
        <v>534400</v>
      </c>
      <c r="E44" s="80">
        <f t="shared" si="13"/>
        <v>0.73839999999999995</v>
      </c>
      <c r="F44" s="80">
        <f t="shared" si="13"/>
        <v>146.44</v>
      </c>
      <c r="G44" s="80">
        <f t="shared" si="13"/>
        <v>924800</v>
      </c>
      <c r="H44" s="80">
        <f t="shared" si="13"/>
        <v>146.44</v>
      </c>
      <c r="I44" s="80">
        <f t="shared" si="13"/>
        <v>26896</v>
      </c>
      <c r="J44" s="80">
        <f t="shared" si="13"/>
        <v>997600</v>
      </c>
      <c r="K44" s="80">
        <f t="shared" si="13"/>
        <v>26276</v>
      </c>
      <c r="L44" s="80">
        <f t="shared" si="1"/>
        <v>64880</v>
      </c>
      <c r="M44" s="80">
        <f t="shared" si="2"/>
        <v>556800</v>
      </c>
      <c r="N44" s="80">
        <f t="shared" si="3"/>
        <v>29472</v>
      </c>
      <c r="O44" s="80">
        <f t="shared" si="4"/>
        <v>54680</v>
      </c>
      <c r="P44" s="80">
        <f t="shared" si="5"/>
        <v>534400</v>
      </c>
    </row>
    <row r="45" spans="1:16">
      <c r="A45">
        <v>1.5</v>
      </c>
      <c r="B45" s="80">
        <f t="shared" ref="B45:K45" si="14">+Vu*B12*TIDMg</f>
        <v>0</v>
      </c>
      <c r="C45" s="80">
        <f t="shared" si="14"/>
        <v>66.959999999999994</v>
      </c>
      <c r="D45" s="80">
        <f t="shared" si="14"/>
        <v>254920</v>
      </c>
      <c r="E45" s="80">
        <f t="shared" si="14"/>
        <v>0.49199999999999999</v>
      </c>
      <c r="F45" s="80">
        <f t="shared" si="14"/>
        <v>124.04</v>
      </c>
      <c r="G45" s="80">
        <f t="shared" si="14"/>
        <v>437200</v>
      </c>
      <c r="H45" s="80">
        <f t="shared" si="14"/>
        <v>124.04</v>
      </c>
      <c r="I45" s="80">
        <f t="shared" si="14"/>
        <v>15328</v>
      </c>
      <c r="J45" s="80">
        <f t="shared" si="14"/>
        <v>478000</v>
      </c>
      <c r="K45" s="80">
        <f t="shared" si="14"/>
        <v>15112</v>
      </c>
      <c r="L45" s="80">
        <f t="shared" si="1"/>
        <v>35588</v>
      </c>
      <c r="M45" s="80">
        <f t="shared" si="2"/>
        <v>270080</v>
      </c>
      <c r="N45" s="80">
        <f t="shared" si="3"/>
        <v>17300</v>
      </c>
      <c r="O45" s="80">
        <f t="shared" si="4"/>
        <v>30820</v>
      </c>
      <c r="P45" s="80">
        <f t="shared" si="5"/>
        <v>254920</v>
      </c>
    </row>
    <row r="46" spans="1:16">
      <c r="A46">
        <v>2</v>
      </c>
      <c r="B46" s="80">
        <f t="shared" ref="B46:K46" si="15">+Vu*B13*TIDMg</f>
        <v>0</v>
      </c>
      <c r="C46" s="80">
        <f t="shared" si="15"/>
        <v>61.28</v>
      </c>
      <c r="D46" s="80">
        <f t="shared" si="15"/>
        <v>171000</v>
      </c>
      <c r="E46" s="80">
        <f t="shared" si="15"/>
        <v>0.39328000000000002</v>
      </c>
      <c r="F46" s="80">
        <f t="shared" si="15"/>
        <v>115.84</v>
      </c>
      <c r="G46" s="80">
        <f t="shared" si="15"/>
        <v>282640</v>
      </c>
      <c r="H46" s="80">
        <f t="shared" si="15"/>
        <v>115.84</v>
      </c>
      <c r="I46" s="80">
        <f t="shared" si="15"/>
        <v>11392</v>
      </c>
      <c r="J46" s="80">
        <f t="shared" si="15"/>
        <v>305680</v>
      </c>
      <c r="K46" s="80">
        <f t="shared" si="15"/>
        <v>10236</v>
      </c>
      <c r="L46" s="80">
        <f t="shared" si="1"/>
        <v>23852</v>
      </c>
      <c r="M46" s="80">
        <f t="shared" si="2"/>
        <v>170600</v>
      </c>
      <c r="N46" s="80">
        <f t="shared" si="3"/>
        <v>11500</v>
      </c>
      <c r="O46" s="80">
        <f t="shared" si="4"/>
        <v>20296</v>
      </c>
      <c r="P46" s="80">
        <f t="shared" si="5"/>
        <v>171000</v>
      </c>
    </row>
    <row r="47" spans="1:16">
      <c r="A47">
        <v>2.5</v>
      </c>
      <c r="B47" s="80">
        <f t="shared" ref="B47:K47" si="16">+Vu*B14*TIDMg</f>
        <v>0</v>
      </c>
      <c r="C47" s="80">
        <f t="shared" si="16"/>
        <v>57.36</v>
      </c>
      <c r="D47" s="80">
        <f t="shared" si="16"/>
        <v>134920</v>
      </c>
      <c r="E47" s="80">
        <f t="shared" si="16"/>
        <v>0.33928000000000003</v>
      </c>
      <c r="F47" s="80">
        <f t="shared" si="16"/>
        <v>110.76</v>
      </c>
      <c r="G47" s="80">
        <f t="shared" si="16"/>
        <v>214440</v>
      </c>
      <c r="H47" s="80">
        <f t="shared" si="16"/>
        <v>110.76</v>
      </c>
      <c r="I47" s="80">
        <f t="shared" si="16"/>
        <v>9464</v>
      </c>
      <c r="J47" s="80">
        <f t="shared" si="16"/>
        <v>226200</v>
      </c>
      <c r="K47" s="80">
        <f t="shared" si="16"/>
        <v>7424</v>
      </c>
      <c r="L47" s="80">
        <f t="shared" si="1"/>
        <v>17424</v>
      </c>
      <c r="M47" s="80">
        <f t="shared" si="2"/>
        <v>122760</v>
      </c>
      <c r="N47" s="80">
        <f t="shared" si="3"/>
        <v>8084</v>
      </c>
      <c r="O47" s="80">
        <f t="shared" si="4"/>
        <v>14236</v>
      </c>
      <c r="P47" s="80">
        <f t="shared" si="5"/>
        <v>134920</v>
      </c>
    </row>
    <row r="48" spans="1:16">
      <c r="A48">
        <v>3</v>
      </c>
      <c r="B48" s="80">
        <f t="shared" ref="B48:K48" si="17">+Vu*B15*TIDMg</f>
        <v>0</v>
      </c>
      <c r="C48" s="80">
        <f t="shared" si="17"/>
        <v>54.48</v>
      </c>
      <c r="D48" s="80">
        <f t="shared" si="17"/>
        <v>115160</v>
      </c>
      <c r="E48" s="80">
        <f t="shared" si="17"/>
        <v>0.3014</v>
      </c>
      <c r="F48" s="80">
        <f t="shared" si="17"/>
        <v>106.72</v>
      </c>
      <c r="G48" s="80">
        <f t="shared" si="17"/>
        <v>176760</v>
      </c>
      <c r="H48" s="80">
        <f t="shared" si="17"/>
        <v>106.72</v>
      </c>
      <c r="I48" s="83">
        <f t="shared" si="17"/>
        <v>8284</v>
      </c>
      <c r="J48" s="83">
        <f t="shared" si="17"/>
        <v>180640</v>
      </c>
      <c r="K48" s="80">
        <f t="shared" si="17"/>
        <v>5544</v>
      </c>
      <c r="L48" s="80">
        <f t="shared" si="1"/>
        <v>13308</v>
      </c>
      <c r="M48" s="80">
        <f t="shared" si="2"/>
        <v>94720</v>
      </c>
      <c r="N48" s="80">
        <f t="shared" si="3"/>
        <v>5844</v>
      </c>
      <c r="O48" s="80">
        <f t="shared" si="4"/>
        <v>10304</v>
      </c>
      <c r="P48" s="80">
        <f t="shared" si="5"/>
        <v>115160</v>
      </c>
    </row>
    <row r="49" spans="1:16">
      <c r="A49">
        <v>4</v>
      </c>
      <c r="B49" s="80">
        <f t="shared" ref="B49:K49" si="18">+Vu*B16*TIDMg</f>
        <v>0</v>
      </c>
      <c r="C49" s="80">
        <f t="shared" si="18"/>
        <v>50.64</v>
      </c>
      <c r="D49" s="80">
        <f t="shared" si="18"/>
        <v>92640</v>
      </c>
      <c r="E49" s="80">
        <f t="shared" si="18"/>
        <v>0.2172</v>
      </c>
      <c r="F49" s="80">
        <f t="shared" si="18"/>
        <v>100</v>
      </c>
      <c r="G49" s="80">
        <f t="shared" si="18"/>
        <v>135160</v>
      </c>
      <c r="H49" s="80">
        <f t="shared" si="18"/>
        <v>100</v>
      </c>
      <c r="I49" s="83">
        <f t="shared" si="18"/>
        <v>6908</v>
      </c>
      <c r="J49" s="83">
        <f t="shared" si="18"/>
        <v>130720</v>
      </c>
      <c r="K49" s="80">
        <f t="shared" si="18"/>
        <v>3490.4</v>
      </c>
      <c r="L49" s="80">
        <f t="shared" si="1"/>
        <v>8856</v>
      </c>
      <c r="M49" s="80">
        <f t="shared" si="2"/>
        <v>64560</v>
      </c>
      <c r="N49" s="80">
        <f t="shared" si="3"/>
        <v>3428.4</v>
      </c>
      <c r="O49" s="80">
        <f t="shared" si="4"/>
        <v>6104</v>
      </c>
      <c r="P49" s="80">
        <f t="shared" si="5"/>
        <v>92640</v>
      </c>
    </row>
    <row r="50" spans="1:16">
      <c r="A50" s="32">
        <v>5</v>
      </c>
      <c r="B50" s="83">
        <f t="shared" ref="B50:K50" si="19">+Vu*B17*TIDMg</f>
        <v>0</v>
      </c>
      <c r="C50" s="83">
        <f t="shared" si="19"/>
        <v>47.36</v>
      </c>
      <c r="D50" s="83">
        <f t="shared" si="19"/>
        <v>79200</v>
      </c>
      <c r="E50" s="83">
        <f t="shared" si="19"/>
        <v>0.14376</v>
      </c>
      <c r="F50" s="83">
        <f t="shared" si="19"/>
        <v>95.12</v>
      </c>
      <c r="G50" s="83">
        <f t="shared" si="19"/>
        <v>111360</v>
      </c>
      <c r="H50" s="83">
        <f t="shared" si="19"/>
        <v>95.12</v>
      </c>
      <c r="I50" s="83">
        <f t="shared" si="19"/>
        <v>6100</v>
      </c>
      <c r="J50" s="83">
        <f t="shared" si="19"/>
        <v>103840</v>
      </c>
      <c r="K50" s="83">
        <f t="shared" si="19"/>
        <v>2476.4</v>
      </c>
      <c r="L50" s="83">
        <f t="shared" si="1"/>
        <v>6668</v>
      </c>
      <c r="M50" s="83">
        <f t="shared" si="2"/>
        <v>48960</v>
      </c>
      <c r="N50" s="83">
        <f t="shared" si="3"/>
        <v>2271.1999999999998</v>
      </c>
      <c r="O50" s="83">
        <f t="shared" si="4"/>
        <v>4132</v>
      </c>
      <c r="P50" s="83">
        <f t="shared" si="5"/>
        <v>79200</v>
      </c>
    </row>
    <row r="51" spans="1:16">
      <c r="A51">
        <v>6</v>
      </c>
      <c r="B51" s="80">
        <f t="shared" ref="B51:K51" si="20">+Vu*B18*TIDMg</f>
        <v>0</v>
      </c>
      <c r="C51" s="80">
        <f t="shared" si="20"/>
        <v>44.96</v>
      </c>
      <c r="D51" s="80">
        <f t="shared" si="20"/>
        <v>71640</v>
      </c>
      <c r="E51" s="80">
        <f t="shared" si="20"/>
        <v>8.3000000000000004E-2</v>
      </c>
      <c r="F51" s="80">
        <f t="shared" si="20"/>
        <v>92.32</v>
      </c>
      <c r="G51" s="80">
        <f t="shared" si="20"/>
        <v>98600</v>
      </c>
      <c r="H51" s="80">
        <f t="shared" si="20"/>
        <v>92.32</v>
      </c>
      <c r="I51" s="83">
        <f t="shared" si="20"/>
        <v>5656</v>
      </c>
      <c r="J51" s="83">
        <f t="shared" si="20"/>
        <v>90480</v>
      </c>
      <c r="K51" s="80">
        <f t="shared" si="20"/>
        <v>1938.4</v>
      </c>
      <c r="L51" s="80">
        <f t="shared" si="1"/>
        <v>5548</v>
      </c>
      <c r="M51" s="80">
        <f t="shared" si="2"/>
        <v>41280</v>
      </c>
      <c r="N51" s="80">
        <f t="shared" si="3"/>
        <v>1666</v>
      </c>
      <c r="O51" s="80">
        <f t="shared" si="4"/>
        <v>3144.8</v>
      </c>
      <c r="P51" s="80">
        <f t="shared" si="5"/>
        <v>68760</v>
      </c>
    </row>
    <row r="52" spans="1:16">
      <c r="A52">
        <v>7</v>
      </c>
      <c r="B52" s="80">
        <f t="shared" ref="B52:K52" si="21">+Vu*B19*TIDMg</f>
        <v>0</v>
      </c>
      <c r="C52" s="80">
        <f t="shared" si="21"/>
        <v>42.6</v>
      </c>
      <c r="D52" s="80">
        <f t="shared" si="21"/>
        <v>67960</v>
      </c>
      <c r="E52" s="80">
        <f t="shared" si="21"/>
        <v>3.2632000000000001E-2</v>
      </c>
      <c r="F52" s="80">
        <f t="shared" si="21"/>
        <v>90.56</v>
      </c>
      <c r="G52" s="80">
        <f t="shared" si="21"/>
        <v>90960</v>
      </c>
      <c r="H52" s="80">
        <f t="shared" si="21"/>
        <v>90.56</v>
      </c>
      <c r="I52" s="83">
        <f t="shared" si="21"/>
        <v>5356</v>
      </c>
      <c r="J52" s="83">
        <f t="shared" si="21"/>
        <v>83040</v>
      </c>
      <c r="K52" s="80">
        <f t="shared" si="21"/>
        <v>1594.8</v>
      </c>
      <c r="L52" s="80">
        <f t="shared" si="1"/>
        <v>4868</v>
      </c>
      <c r="M52" s="80">
        <f t="shared" si="2"/>
        <v>37088</v>
      </c>
      <c r="N52" s="80">
        <f t="shared" si="3"/>
        <v>1293.2</v>
      </c>
      <c r="O52" s="80">
        <f t="shared" si="4"/>
        <v>2571.1999999999998</v>
      </c>
      <c r="P52" s="80">
        <f t="shared" si="5"/>
        <v>66760</v>
      </c>
    </row>
    <row r="53" spans="1:16">
      <c r="A53">
        <v>8</v>
      </c>
      <c r="B53" s="80">
        <f t="shared" ref="B53:K53" si="22">+Vu*B20*TIDMg</f>
        <v>0</v>
      </c>
      <c r="C53" s="80">
        <f t="shared" si="22"/>
        <v>40.6</v>
      </c>
      <c r="D53" s="80">
        <f t="shared" si="22"/>
        <v>63320</v>
      </c>
      <c r="E53" s="80">
        <f t="shared" si="22"/>
        <v>7.4720000000000003E-3</v>
      </c>
      <c r="F53" s="80">
        <f t="shared" si="22"/>
        <v>89.52</v>
      </c>
      <c r="G53" s="80">
        <f t="shared" si="22"/>
        <v>85760</v>
      </c>
      <c r="H53" s="80">
        <f t="shared" si="22"/>
        <v>89.52</v>
      </c>
      <c r="I53" s="80">
        <f t="shared" si="22"/>
        <v>5124</v>
      </c>
      <c r="J53" s="80">
        <f t="shared" si="22"/>
        <v>78120</v>
      </c>
      <c r="K53" s="80">
        <f t="shared" si="22"/>
        <v>1367.6</v>
      </c>
      <c r="L53" s="80">
        <f t="shared" si="1"/>
        <v>4416</v>
      </c>
      <c r="M53" s="80">
        <f t="shared" si="2"/>
        <v>34428</v>
      </c>
      <c r="N53" s="80">
        <f t="shared" si="3"/>
        <v>1057.5999999999999</v>
      </c>
      <c r="O53" s="80">
        <f t="shared" si="4"/>
        <v>2220.8000000000002</v>
      </c>
      <c r="P53" s="80">
        <f t="shared" si="5"/>
        <v>63320</v>
      </c>
    </row>
    <row r="54" spans="1:16">
      <c r="A54">
        <v>9</v>
      </c>
      <c r="B54" s="80">
        <f t="shared" ref="B54:K54" si="23">+Vu*B21*TIDMg</f>
        <v>0</v>
      </c>
      <c r="C54" s="80">
        <f t="shared" si="23"/>
        <v>38.82</v>
      </c>
      <c r="D54" s="80">
        <f t="shared" si="23"/>
        <v>60800</v>
      </c>
      <c r="E54" s="80">
        <f t="shared" si="23"/>
        <v>8.6160000000000002E-4</v>
      </c>
      <c r="F54" s="80">
        <f t="shared" si="23"/>
        <v>89</v>
      </c>
      <c r="G54" s="80">
        <f t="shared" si="23"/>
        <v>82000</v>
      </c>
      <c r="H54" s="80">
        <f t="shared" si="23"/>
        <v>89</v>
      </c>
      <c r="I54" s="80">
        <f t="shared" si="23"/>
        <v>4944</v>
      </c>
      <c r="J54" s="80">
        <f t="shared" si="23"/>
        <v>74480</v>
      </c>
      <c r="K54" s="80">
        <f t="shared" si="23"/>
        <v>1214</v>
      </c>
      <c r="L54" s="80">
        <f t="shared" si="1"/>
        <v>4104</v>
      </c>
      <c r="M54" s="80">
        <f t="shared" si="2"/>
        <v>32564</v>
      </c>
      <c r="N54" s="80">
        <f t="shared" si="3"/>
        <v>905.6</v>
      </c>
      <c r="O54" s="80">
        <f t="shared" si="4"/>
        <v>1991.6</v>
      </c>
      <c r="P54" s="80">
        <f t="shared" si="5"/>
        <v>60800</v>
      </c>
    </row>
    <row r="55" spans="1:16">
      <c r="A55">
        <v>10</v>
      </c>
      <c r="B55" s="80">
        <f t="shared" ref="B55:K55" si="24">+Vu*B22*TIDMg</f>
        <v>0</v>
      </c>
      <c r="C55" s="80">
        <f t="shared" si="24"/>
        <v>37.28</v>
      </c>
      <c r="D55" s="80">
        <f t="shared" si="24"/>
        <v>58160</v>
      </c>
      <c r="E55" s="80">
        <f t="shared" si="24"/>
        <v>5.6079999999999997E-4</v>
      </c>
      <c r="F55" s="80">
        <f t="shared" si="24"/>
        <v>88.32</v>
      </c>
      <c r="G55" s="80">
        <f t="shared" si="24"/>
        <v>78120</v>
      </c>
      <c r="H55" s="80">
        <f t="shared" si="24"/>
        <v>88.32</v>
      </c>
      <c r="I55" s="80">
        <f t="shared" si="24"/>
        <v>4760</v>
      </c>
      <c r="J55" s="80">
        <f t="shared" si="24"/>
        <v>70840</v>
      </c>
      <c r="K55" s="80">
        <f t="shared" si="24"/>
        <v>1088.8</v>
      </c>
      <c r="L55" s="80">
        <f t="shared" si="1"/>
        <v>3830.4</v>
      </c>
      <c r="M55" s="80">
        <f t="shared" si="2"/>
        <v>30772</v>
      </c>
      <c r="N55" s="80">
        <f t="shared" si="3"/>
        <v>785.6</v>
      </c>
      <c r="O55" s="80">
        <f t="shared" si="4"/>
        <v>1812</v>
      </c>
      <c r="P55" s="80">
        <f t="shared" si="5"/>
        <v>58160</v>
      </c>
    </row>
    <row r="56" spans="1:16">
      <c r="A56">
        <v>12</v>
      </c>
      <c r="B56" s="80">
        <f t="shared" ref="B56:K56" si="25">+Vu*B23*TIDMg</f>
        <v>0</v>
      </c>
      <c r="C56" s="80">
        <f t="shared" si="25"/>
        <v>35.091999999999999</v>
      </c>
      <c r="D56" s="80">
        <f t="shared" si="25"/>
        <v>54000</v>
      </c>
      <c r="E56" s="80">
        <f t="shared" si="25"/>
        <v>4.7160000000000002E-4</v>
      </c>
      <c r="F56" s="80">
        <f t="shared" si="25"/>
        <v>87.2</v>
      </c>
      <c r="G56" s="80">
        <f t="shared" si="25"/>
        <v>72080</v>
      </c>
      <c r="H56" s="80">
        <f t="shared" si="25"/>
        <v>87.2</v>
      </c>
      <c r="I56" s="80">
        <f t="shared" si="25"/>
        <v>4476</v>
      </c>
      <c r="J56" s="80">
        <f t="shared" si="25"/>
        <v>65320</v>
      </c>
      <c r="K56" s="80">
        <f t="shared" si="25"/>
        <v>919.2</v>
      </c>
      <c r="L56" s="80">
        <f t="shared" si="1"/>
        <v>3444.8</v>
      </c>
      <c r="M56" s="80">
        <f t="shared" si="2"/>
        <v>28092</v>
      </c>
      <c r="N56" s="80">
        <f t="shared" si="3"/>
        <v>627.20000000000005</v>
      </c>
      <c r="O56" s="80">
        <f t="shared" si="4"/>
        <v>1571.2</v>
      </c>
      <c r="P56" s="80">
        <f t="shared" si="5"/>
        <v>54000</v>
      </c>
    </row>
    <row r="57" spans="1:16">
      <c r="A57">
        <v>14</v>
      </c>
      <c r="B57" s="80">
        <f t="shared" ref="B57:K57" si="26">+Vu*B24*TIDMg</f>
        <v>0</v>
      </c>
      <c r="C57" s="80">
        <f t="shared" si="26"/>
        <v>32.671999999999997</v>
      </c>
      <c r="D57" s="80">
        <f t="shared" si="26"/>
        <v>50280</v>
      </c>
      <c r="E57" s="80">
        <f t="shared" si="26"/>
        <v>4.104E-4</v>
      </c>
      <c r="F57" s="80">
        <f t="shared" si="26"/>
        <v>85.36</v>
      </c>
      <c r="G57" s="80">
        <f t="shared" si="26"/>
        <v>66800</v>
      </c>
      <c r="H57" s="80">
        <f t="shared" si="26"/>
        <v>85.36</v>
      </c>
      <c r="I57" s="80">
        <f t="shared" si="26"/>
        <v>4220</v>
      </c>
      <c r="J57" s="80">
        <f t="shared" si="26"/>
        <v>60560</v>
      </c>
      <c r="K57" s="80">
        <f t="shared" si="26"/>
        <v>781.6</v>
      </c>
      <c r="L57" s="80">
        <f t="shared" si="1"/>
        <v>3130.4</v>
      </c>
      <c r="M57" s="80">
        <f t="shared" si="2"/>
        <v>25844</v>
      </c>
      <c r="N57" s="80">
        <f t="shared" si="3"/>
        <v>504</v>
      </c>
      <c r="O57" s="80">
        <f t="shared" si="4"/>
        <v>1370.8</v>
      </c>
      <c r="P57" s="80">
        <f t="shared" si="5"/>
        <v>50280</v>
      </c>
    </row>
    <row r="58" spans="1:16">
      <c r="A58">
        <v>16</v>
      </c>
      <c r="B58" s="80">
        <f t="shared" ref="B58:K58" si="27">+Vu*B25*TIDMg</f>
        <v>0</v>
      </c>
      <c r="C58" s="80">
        <f t="shared" si="27"/>
        <v>30.768000000000001</v>
      </c>
      <c r="D58" s="80">
        <f t="shared" si="27"/>
        <v>47320</v>
      </c>
      <c r="E58" s="80">
        <f t="shared" si="27"/>
        <v>3.8012000000000001E-4</v>
      </c>
      <c r="F58" s="80">
        <f t="shared" si="27"/>
        <v>83.32</v>
      </c>
      <c r="G58" s="80">
        <f t="shared" si="27"/>
        <v>62680</v>
      </c>
      <c r="H58" s="80">
        <f t="shared" si="27"/>
        <v>83.32</v>
      </c>
      <c r="I58" s="80">
        <f t="shared" si="27"/>
        <v>4012</v>
      </c>
      <c r="J58" s="80">
        <f t="shared" si="27"/>
        <v>56920</v>
      </c>
      <c r="K58" s="80">
        <f t="shared" si="27"/>
        <v>682</v>
      </c>
      <c r="L58" s="80">
        <f t="shared" si="1"/>
        <v>2894</v>
      </c>
      <c r="M58" s="80">
        <f t="shared" si="2"/>
        <v>24140</v>
      </c>
      <c r="N58" s="80">
        <f t="shared" si="3"/>
        <v>416</v>
      </c>
      <c r="O58" s="80">
        <f t="shared" si="4"/>
        <v>1226.8</v>
      </c>
      <c r="P58" s="80">
        <f t="shared" si="5"/>
        <v>47320</v>
      </c>
    </row>
    <row r="59" spans="1:16">
      <c r="A59">
        <v>18</v>
      </c>
      <c r="B59" s="80">
        <f t="shared" ref="B59:K59" si="28">+Vu*B26*TIDMg</f>
        <v>0</v>
      </c>
      <c r="C59" s="80">
        <f t="shared" si="28"/>
        <v>28.812000000000001</v>
      </c>
      <c r="D59" s="80">
        <f t="shared" si="28"/>
        <v>45000</v>
      </c>
      <c r="E59" s="80">
        <f t="shared" si="28"/>
        <v>3.6188000000000003E-4</v>
      </c>
      <c r="F59" s="80">
        <f t="shared" si="28"/>
        <v>81.44</v>
      </c>
      <c r="G59" s="80">
        <f t="shared" si="28"/>
        <v>59480</v>
      </c>
      <c r="H59" s="80">
        <f t="shared" si="28"/>
        <v>81.44</v>
      </c>
      <c r="I59" s="80">
        <f t="shared" si="28"/>
        <v>3838.4</v>
      </c>
      <c r="J59" s="80">
        <f t="shared" si="28"/>
        <v>54000</v>
      </c>
      <c r="K59" s="80">
        <f t="shared" si="28"/>
        <v>606.4</v>
      </c>
      <c r="L59" s="80">
        <f t="shared" si="1"/>
        <v>2711.6</v>
      </c>
      <c r="M59" s="80">
        <f t="shared" si="2"/>
        <v>22812</v>
      </c>
      <c r="N59" s="80">
        <f t="shared" si="3"/>
        <v>351.8</v>
      </c>
      <c r="O59" s="80">
        <f t="shared" si="4"/>
        <v>1110.4000000000001</v>
      </c>
      <c r="P59" s="80">
        <f t="shared" si="5"/>
        <v>45000</v>
      </c>
    </row>
    <row r="60" spans="1:16">
      <c r="A60">
        <v>20</v>
      </c>
      <c r="B60" s="80">
        <f t="shared" ref="B60:K60" si="29">+Vu*B27*TIDMg</f>
        <v>0</v>
      </c>
      <c r="C60" s="80">
        <f t="shared" si="29"/>
        <v>27.071999999999999</v>
      </c>
      <c r="D60" s="80">
        <f t="shared" si="29"/>
        <v>42640</v>
      </c>
      <c r="E60" s="80">
        <f t="shared" si="29"/>
        <v>3.4111999999999999E-4</v>
      </c>
      <c r="F60" s="80">
        <f t="shared" si="29"/>
        <v>79.400000000000006</v>
      </c>
      <c r="G60" s="80">
        <f t="shared" si="29"/>
        <v>56200</v>
      </c>
      <c r="H60" s="80">
        <f t="shared" si="29"/>
        <v>79.400000000000006</v>
      </c>
      <c r="I60" s="80">
        <f t="shared" si="29"/>
        <v>3654</v>
      </c>
      <c r="J60" s="80">
        <f t="shared" si="29"/>
        <v>50920</v>
      </c>
      <c r="K60" s="80">
        <f t="shared" si="29"/>
        <v>543.20000000000005</v>
      </c>
      <c r="L60" s="80">
        <f t="shared" si="1"/>
        <v>2532.8000000000002</v>
      </c>
      <c r="M60" s="80">
        <f t="shared" si="2"/>
        <v>21448</v>
      </c>
      <c r="N60" s="80">
        <f t="shared" si="3"/>
        <v>298.08</v>
      </c>
      <c r="O60" s="80">
        <f t="shared" si="4"/>
        <v>1011.2</v>
      </c>
      <c r="P60" s="80">
        <f t="shared" si="5"/>
        <v>42640</v>
      </c>
    </row>
    <row r="61" spans="1:16">
      <c r="A61">
        <v>25</v>
      </c>
      <c r="B61" s="80"/>
      <c r="C61" s="80"/>
      <c r="D61" s="80">
        <f t="shared" ref="D61:D66" si="30">+Vu*D28*TIDMg</f>
        <v>38500</v>
      </c>
      <c r="E61" s="80"/>
      <c r="F61" s="80"/>
      <c r="G61" s="80">
        <f t="shared" ref="G61:G66" si="31">+Vu*G28*TIDMg</f>
        <v>50400</v>
      </c>
      <c r="H61" s="80"/>
      <c r="I61" s="80"/>
      <c r="J61" s="80">
        <f t="shared" ref="J61:J66" si="32">+Vu*J28*TIDMg</f>
        <v>44800</v>
      </c>
      <c r="K61" s="80"/>
      <c r="L61" s="80"/>
      <c r="M61" s="80">
        <f t="shared" si="2"/>
        <v>18984</v>
      </c>
      <c r="N61" s="80"/>
      <c r="O61" s="80"/>
      <c r="P61" s="80">
        <f t="shared" si="5"/>
        <v>13464</v>
      </c>
    </row>
    <row r="62" spans="1:16">
      <c r="A62">
        <v>30</v>
      </c>
      <c r="B62" s="80"/>
      <c r="C62" s="80"/>
      <c r="D62" s="80">
        <f t="shared" si="30"/>
        <v>34540</v>
      </c>
      <c r="E62" s="80"/>
      <c r="F62" s="80"/>
      <c r="G62" s="80">
        <f t="shared" si="31"/>
        <v>44880</v>
      </c>
      <c r="H62" s="80"/>
      <c r="I62" s="80"/>
      <c r="J62" s="80">
        <f t="shared" si="32"/>
        <v>40040</v>
      </c>
      <c r="K62" s="80"/>
      <c r="L62" s="80"/>
      <c r="M62" s="80">
        <f t="shared" si="2"/>
        <v>16696</v>
      </c>
      <c r="N62" s="80"/>
      <c r="O62" s="80"/>
      <c r="P62" s="80">
        <f t="shared" si="5"/>
        <v>11876</v>
      </c>
    </row>
    <row r="63" spans="1:16">
      <c r="A63">
        <v>35</v>
      </c>
      <c r="B63" s="80"/>
      <c r="C63" s="80"/>
      <c r="D63" s="80">
        <f t="shared" si="30"/>
        <v>31368</v>
      </c>
      <c r="E63" s="80"/>
      <c r="F63" s="80"/>
      <c r="G63" s="80">
        <f t="shared" si="31"/>
        <v>40520</v>
      </c>
      <c r="H63" s="80"/>
      <c r="I63" s="80"/>
      <c r="J63" s="80">
        <f t="shared" si="32"/>
        <v>35652</v>
      </c>
      <c r="K63" s="80"/>
      <c r="L63" s="80"/>
      <c r="M63" s="80">
        <f t="shared" si="2"/>
        <v>14884</v>
      </c>
      <c r="N63" s="80"/>
      <c r="O63" s="80"/>
      <c r="P63" s="80">
        <f t="shared" si="5"/>
        <v>10620</v>
      </c>
    </row>
    <row r="64" spans="1:16">
      <c r="A64">
        <v>40</v>
      </c>
      <c r="B64" s="80"/>
      <c r="C64" s="80"/>
      <c r="D64" s="80">
        <f t="shared" si="30"/>
        <v>28936</v>
      </c>
      <c r="E64" s="80"/>
      <c r="F64" s="80"/>
      <c r="G64" s="80">
        <f t="shared" si="31"/>
        <v>37172</v>
      </c>
      <c r="H64" s="80"/>
      <c r="I64" s="80"/>
      <c r="J64" s="80">
        <f t="shared" si="32"/>
        <v>32476</v>
      </c>
      <c r="K64" s="80"/>
      <c r="L64" s="80"/>
      <c r="M64" s="80">
        <f t="shared" si="2"/>
        <v>13536</v>
      </c>
      <c r="N64" s="80"/>
      <c r="O64" s="80"/>
      <c r="P64" s="80">
        <f t="shared" si="5"/>
        <v>9684</v>
      </c>
    </row>
    <row r="65" spans="1:16">
      <c r="A65">
        <v>45</v>
      </c>
      <c r="B65" s="80"/>
      <c r="C65" s="80"/>
      <c r="D65" s="80">
        <f t="shared" si="30"/>
        <v>26672</v>
      </c>
      <c r="E65" s="80"/>
      <c r="F65" s="80"/>
      <c r="G65" s="80">
        <f t="shared" si="31"/>
        <v>34088</v>
      </c>
      <c r="H65" s="80"/>
      <c r="I65" s="80"/>
      <c r="J65" s="80">
        <f t="shared" si="32"/>
        <v>29556</v>
      </c>
      <c r="K65" s="80"/>
      <c r="L65" s="80"/>
      <c r="M65" s="80">
        <f t="shared" si="2"/>
        <v>12316</v>
      </c>
      <c r="N65" s="80"/>
      <c r="O65" s="80"/>
      <c r="P65" s="80">
        <f t="shared" si="5"/>
        <v>8832</v>
      </c>
    </row>
    <row r="66" spans="1:16">
      <c r="A66">
        <v>50</v>
      </c>
      <c r="B66" s="80"/>
      <c r="C66" s="80"/>
      <c r="D66" s="80">
        <f t="shared" si="30"/>
        <v>24728</v>
      </c>
      <c r="E66" s="80"/>
      <c r="F66" s="80"/>
      <c r="G66" s="80">
        <f t="shared" si="31"/>
        <v>31452</v>
      </c>
      <c r="H66" s="80"/>
      <c r="I66" s="80"/>
      <c r="J66" s="80">
        <f t="shared" si="32"/>
        <v>27092</v>
      </c>
      <c r="K66" s="80"/>
      <c r="L66" s="80"/>
      <c r="M66" s="80">
        <f t="shared" si="2"/>
        <v>11284</v>
      </c>
      <c r="N66" s="80"/>
      <c r="O66" s="80"/>
      <c r="P66" s="80">
        <f t="shared" si="5"/>
        <v>8112</v>
      </c>
    </row>
    <row r="67" spans="1:16">
      <c r="A67" s="4" t="s">
        <v>497</v>
      </c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</row>
    <row r="68" spans="1:16">
      <c r="A68" s="166"/>
      <c r="B68" s="180"/>
      <c r="C68" s="161"/>
      <c r="D68" s="161"/>
      <c r="E68" s="161"/>
      <c r="F68" s="161"/>
      <c r="G68" s="161"/>
      <c r="H68" s="161"/>
      <c r="I68" s="161"/>
      <c r="J68" s="161"/>
      <c r="K68" s="161"/>
      <c r="L68" s="161"/>
      <c r="M68" s="161"/>
      <c r="N68" s="161"/>
      <c r="O68" s="161"/>
      <c r="P68" s="161"/>
    </row>
    <row r="69" spans="1:16" hidden="1">
      <c r="A69" s="178"/>
      <c r="B69" s="180"/>
      <c r="C69" s="161"/>
      <c r="D69" s="161"/>
      <c r="E69" s="161"/>
      <c r="F69" s="161"/>
      <c r="G69" s="161"/>
      <c r="H69" s="161"/>
      <c r="I69" s="161"/>
      <c r="J69" s="161"/>
      <c r="K69" s="167"/>
      <c r="L69" s="167"/>
      <c r="M69" s="167"/>
      <c r="N69" s="167"/>
      <c r="O69" s="167"/>
      <c r="P69" s="167"/>
    </row>
    <row r="70" spans="1:16" hidden="1">
      <c r="A70" s="171"/>
      <c r="B70" s="167"/>
      <c r="C70" s="167"/>
      <c r="D70" s="167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</row>
    <row r="71" spans="1:16" hidden="1">
      <c r="A71" s="157"/>
      <c r="B71" s="161"/>
      <c r="C71" s="161"/>
      <c r="D71" s="161"/>
      <c r="E71" s="161"/>
      <c r="F71" s="161"/>
      <c r="G71" s="161"/>
      <c r="H71" s="161"/>
      <c r="I71" s="161"/>
      <c r="J71" s="161"/>
      <c r="K71" s="161"/>
      <c r="L71" s="161"/>
      <c r="M71" s="161"/>
      <c r="N71" s="161"/>
      <c r="O71" s="161"/>
      <c r="P71" s="161"/>
    </row>
    <row r="72" spans="1:16" hidden="1">
      <c r="A72" s="157"/>
      <c r="B72" s="181"/>
      <c r="C72" s="181"/>
      <c r="D72" s="181"/>
      <c r="E72" s="181"/>
      <c r="F72" s="181"/>
      <c r="G72" s="181"/>
      <c r="H72" s="181"/>
      <c r="I72" s="181"/>
      <c r="J72" s="181"/>
      <c r="K72" s="181"/>
      <c r="L72" s="181"/>
      <c r="M72" s="181"/>
      <c r="N72" s="181"/>
      <c r="O72" s="181"/>
      <c r="P72" s="181"/>
    </row>
    <row r="73" spans="1:16" hidden="1">
      <c r="A73" s="157"/>
      <c r="B73" s="182"/>
      <c r="C73" s="182"/>
      <c r="D73" s="182"/>
      <c r="E73" s="182"/>
      <c r="F73" s="182"/>
      <c r="G73" s="182"/>
      <c r="H73" s="182"/>
      <c r="I73" s="182"/>
      <c r="J73" s="182"/>
      <c r="K73" s="182"/>
      <c r="L73" s="182"/>
      <c r="M73" s="182"/>
      <c r="N73" s="182"/>
      <c r="O73" s="182"/>
      <c r="P73" s="182"/>
    </row>
    <row r="74" spans="1:16" hidden="1">
      <c r="A74" s="157"/>
      <c r="B74" s="183"/>
      <c r="C74" s="183"/>
      <c r="D74" s="183"/>
      <c r="E74" s="183"/>
      <c r="F74" s="183"/>
      <c r="G74" s="183"/>
      <c r="H74" s="183"/>
      <c r="I74" s="183"/>
      <c r="J74" s="183"/>
      <c r="K74" s="183"/>
      <c r="L74" s="183"/>
      <c r="M74" s="183"/>
      <c r="N74" s="183"/>
      <c r="O74" s="183"/>
      <c r="P74" s="183"/>
    </row>
    <row r="75" spans="1:16" hidden="1">
      <c r="A75" s="166"/>
      <c r="B75" s="168"/>
      <c r="C75" s="157"/>
      <c r="D75" s="168"/>
      <c r="E75" s="168"/>
      <c r="F75" s="168"/>
      <c r="G75" s="168"/>
      <c r="H75" s="168"/>
      <c r="I75" s="168"/>
      <c r="J75" s="168"/>
      <c r="K75" s="168"/>
      <c r="L75" s="168"/>
      <c r="M75" s="168"/>
      <c r="N75" s="168"/>
      <c r="O75" s="168"/>
      <c r="P75" s="168"/>
    </row>
    <row r="76" spans="1:16" hidden="1">
      <c r="A76" s="157"/>
      <c r="B76" s="161"/>
      <c r="C76" s="161"/>
      <c r="D76" s="161"/>
      <c r="E76" s="161"/>
      <c r="F76" s="161"/>
      <c r="G76" s="161"/>
      <c r="H76" s="161"/>
      <c r="I76" s="161"/>
      <c r="J76" s="161"/>
      <c r="K76" s="161"/>
      <c r="L76" s="167"/>
      <c r="M76" s="167"/>
      <c r="N76" s="167"/>
      <c r="O76" s="167"/>
      <c r="P76" s="167"/>
    </row>
    <row r="77" spans="1:16" hidden="1">
      <c r="A77" s="157"/>
      <c r="B77" s="161"/>
      <c r="C77" s="161"/>
      <c r="D77" s="161"/>
      <c r="E77" s="161"/>
      <c r="F77" s="161"/>
      <c r="G77" s="161"/>
      <c r="H77" s="161"/>
      <c r="I77" s="161"/>
      <c r="J77" s="161"/>
      <c r="K77" s="161"/>
      <c r="L77" s="161"/>
      <c r="M77" s="161"/>
      <c r="N77" s="161"/>
      <c r="O77" s="161"/>
      <c r="P77" s="161"/>
    </row>
    <row r="78" spans="1:16" hidden="1">
      <c r="A78" s="157"/>
      <c r="B78" s="181"/>
      <c r="C78" s="181"/>
      <c r="D78" s="181"/>
      <c r="E78" s="181"/>
      <c r="F78" s="181"/>
      <c r="G78" s="181"/>
      <c r="H78" s="181"/>
      <c r="I78" s="181"/>
      <c r="J78" s="181"/>
      <c r="K78" s="181"/>
      <c r="L78" s="181"/>
      <c r="M78" s="181"/>
      <c r="N78" s="181"/>
      <c r="O78" s="181"/>
      <c r="P78" s="181"/>
    </row>
    <row r="79" spans="1:16" hidden="1">
      <c r="A79" s="157"/>
      <c r="B79" s="182"/>
      <c r="C79" s="182"/>
      <c r="D79" s="182"/>
      <c r="E79" s="182"/>
      <c r="F79" s="182"/>
      <c r="G79" s="182"/>
      <c r="H79" s="182"/>
      <c r="I79" s="182"/>
      <c r="J79" s="182"/>
      <c r="K79" s="182"/>
      <c r="L79" s="182"/>
      <c r="M79" s="182"/>
      <c r="N79" s="182"/>
      <c r="O79" s="182"/>
      <c r="P79" s="182"/>
    </row>
    <row r="80" spans="1:16" hidden="1">
      <c r="A80" s="157"/>
      <c r="B80" s="183"/>
      <c r="C80" s="183"/>
      <c r="D80" s="183"/>
      <c r="E80" s="183"/>
      <c r="F80" s="183"/>
      <c r="G80" s="183"/>
      <c r="H80" s="183"/>
      <c r="I80" s="183"/>
      <c r="J80" s="183"/>
      <c r="K80" s="183"/>
      <c r="L80" s="183"/>
      <c r="M80" s="183"/>
      <c r="N80" s="183"/>
      <c r="O80" s="183"/>
      <c r="P80" s="183"/>
    </row>
    <row r="82" spans="1:12">
      <c r="A82" s="150"/>
      <c r="B82" s="607" t="s">
        <v>769</v>
      </c>
      <c r="C82" s="607"/>
      <c r="D82" s="607" t="s">
        <v>770</v>
      </c>
      <c r="E82" s="607"/>
      <c r="F82" s="607" t="s">
        <v>773</v>
      </c>
      <c r="G82" s="607"/>
      <c r="H82" s="607" t="s">
        <v>771</v>
      </c>
      <c r="I82" s="607"/>
      <c r="J82" s="607" t="s">
        <v>772</v>
      </c>
      <c r="K82" s="607"/>
    </row>
    <row r="83" spans="1:12">
      <c r="A83" s="142" t="s">
        <v>363</v>
      </c>
      <c r="B83" s="153">
        <f>Orbbaix</f>
        <v>600</v>
      </c>
      <c r="C83" s="153">
        <f>Orbalta</f>
        <v>1200</v>
      </c>
      <c r="D83" s="153">
        <f>Orbbaix</f>
        <v>600</v>
      </c>
      <c r="E83" s="153">
        <f>Orbalta</f>
        <v>1200</v>
      </c>
      <c r="F83" s="153">
        <f>Orbbaix</f>
        <v>600</v>
      </c>
      <c r="G83" s="153">
        <f>Orbalta</f>
        <v>1200</v>
      </c>
      <c r="H83" s="153">
        <f>Orbbaix</f>
        <v>600</v>
      </c>
      <c r="I83" s="153">
        <f>Orbalta</f>
        <v>1200</v>
      </c>
      <c r="J83" s="153">
        <f>Orbbaix</f>
        <v>600</v>
      </c>
      <c r="K83" s="153">
        <f>Orbalta</f>
        <v>1200</v>
      </c>
      <c r="L83" s="153"/>
    </row>
    <row r="84" spans="1:12">
      <c r="A84">
        <v>0.05</v>
      </c>
      <c r="B84" s="80">
        <f>GROWTH(C36:D36,C$35:D$35,B$83)</f>
        <v>69.723023340104518</v>
      </c>
      <c r="C84" s="160">
        <f>GROWTH(C36:D36,C$35:D$35,C$83)</f>
        <v>706777.46921994665</v>
      </c>
      <c r="D84" s="160">
        <f t="shared" ref="D84:D108" si="33">GROWTH(E36:G36,E$35:G$35,D$83)</f>
        <v>206.03475164156021</v>
      </c>
      <c r="E84" s="160">
        <f t="shared" ref="E84:E108" si="34">GROWTH(E36:G36,E$35:G$35,E$83)</f>
        <v>1849034.5856709292</v>
      </c>
      <c r="F84" s="160">
        <f>GROWTH(H36:J36,H$35:J$35,F$83)</f>
        <v>130279.69452112947</v>
      </c>
      <c r="G84" s="160">
        <f>GROWTH(H36:J36,H$35:J$35,G$83)</f>
        <v>20682750.857834585</v>
      </c>
      <c r="H84" s="160">
        <f>GROWTH(K36:M36,K$35:M$35,H$83)</f>
        <v>3381706.6001995774</v>
      </c>
      <c r="I84" s="160">
        <f>GROWTH(K36:M36,K$35:M$35,I$83)</f>
        <v>25808508.381829206</v>
      </c>
      <c r="J84" s="160">
        <f>GROWTH(N36:P36,N$35:P$35,J$83)</f>
        <v>2225058.5362051101</v>
      </c>
      <c r="K84" s="160">
        <f>GROWTH(N36:P36,N$35:P$35,K$83)</f>
        <v>22729895.378651947</v>
      </c>
      <c r="L84" s="80"/>
    </row>
    <row r="85" spans="1:12">
      <c r="A85">
        <v>0.1</v>
      </c>
      <c r="B85" s="160">
        <f t="shared" ref="B85:B108" si="35">GROWTH(C37:D37,C$35:D$35,B$83)</f>
        <v>57.686058718110466</v>
      </c>
      <c r="C85" s="160">
        <f t="shared" ref="C85:C107" si="36">GROWTH(C37:D37,C$35:D$35,C$83)</f>
        <v>506353.02573312196</v>
      </c>
      <c r="D85" s="160">
        <f t="shared" si="33"/>
        <v>160.74359373428499</v>
      </c>
      <c r="E85" s="160">
        <f t="shared" si="34"/>
        <v>1252389.8202985988</v>
      </c>
      <c r="F85" s="160">
        <f t="shared" ref="F85:F108" si="37">GROWTH(H37:J37,H$35:J$35,F$83)</f>
        <v>82822.890565151087</v>
      </c>
      <c r="G85" s="160">
        <f t="shared" ref="G85:G108" si="38">GROWTH(H37:J37,H$35:J$35,G$83)</f>
        <v>12763196.603000721</v>
      </c>
      <c r="H85" s="160">
        <f t="shared" ref="H85:H108" si="39">GROWTH(K37:M37,K$35:M$35,H$83)</f>
        <v>1865763.3390256013</v>
      </c>
      <c r="I85" s="160">
        <f t="shared" ref="I85:I108" si="40">GROWTH(K37:M37,K$35:M$35,I$83)</f>
        <v>15248950.122329775</v>
      </c>
      <c r="J85" s="160">
        <f t="shared" ref="J85:J108" si="41">GROWTH(N37:P37,N$35:P$35,J$83)</f>
        <v>1183397.0979162061</v>
      </c>
      <c r="K85" s="160">
        <f t="shared" ref="K85:K108" si="42">GROWTH(N37:P37,N$35:P$35,K$83)</f>
        <v>13955647.513276741</v>
      </c>
      <c r="L85" s="80"/>
    </row>
    <row r="86" spans="1:12">
      <c r="A86">
        <v>0.2</v>
      </c>
      <c r="B86" s="160">
        <f t="shared" si="35"/>
        <v>46.875607620034167</v>
      </c>
      <c r="C86" s="160">
        <f t="shared" si="36"/>
        <v>311033.86017308285</v>
      </c>
      <c r="D86" s="160">
        <f t="shared" si="33"/>
        <v>111.77446094528538</v>
      </c>
      <c r="E86" s="160">
        <f t="shared" si="34"/>
        <v>692312.57186989323</v>
      </c>
      <c r="F86" s="160">
        <f t="shared" si="37"/>
        <v>42409.51885375545</v>
      </c>
      <c r="G86" s="160">
        <f t="shared" si="38"/>
        <v>6217045.9733337155</v>
      </c>
      <c r="H86" s="160">
        <f t="shared" si="39"/>
        <v>819561.62068263919</v>
      </c>
      <c r="I86" s="160">
        <f t="shared" si="40"/>
        <v>7114849.7541267043</v>
      </c>
      <c r="J86" s="160">
        <f t="shared" si="41"/>
        <v>523750.85492278647</v>
      </c>
      <c r="K86" s="160">
        <f t="shared" si="42"/>
        <v>6900219.5388379404</v>
      </c>
      <c r="L86" s="80"/>
    </row>
    <row r="87" spans="1:12">
      <c r="A87">
        <v>0.3</v>
      </c>
      <c r="B87" s="160">
        <f t="shared" si="35"/>
        <v>39.322805822060829</v>
      </c>
      <c r="C87" s="160">
        <f t="shared" si="36"/>
        <v>189701.40917850067</v>
      </c>
      <c r="D87" s="160">
        <f t="shared" si="33"/>
        <v>76.807168348514921</v>
      </c>
      <c r="E87" s="160">
        <f t="shared" si="34"/>
        <v>382623.62407991802</v>
      </c>
      <c r="F87" s="160">
        <f t="shared" si="37"/>
        <v>22625.663074099833</v>
      </c>
      <c r="G87" s="160">
        <f t="shared" si="38"/>
        <v>3160256.1823320752</v>
      </c>
      <c r="H87" s="160">
        <f t="shared" si="39"/>
        <v>427423.08950562042</v>
      </c>
      <c r="I87" s="160">
        <f t="shared" si="40"/>
        <v>3628751.0354616549</v>
      </c>
      <c r="J87" s="160">
        <f t="shared" si="41"/>
        <v>294483.22600394889</v>
      </c>
      <c r="K87" s="160">
        <f t="shared" si="42"/>
        <v>3642575.338160878</v>
      </c>
      <c r="L87" s="80"/>
    </row>
    <row r="88" spans="1:12">
      <c r="A88">
        <v>0.4</v>
      </c>
      <c r="B88" s="160">
        <f t="shared" si="35"/>
        <v>33.977672924368612</v>
      </c>
      <c r="C88" s="160">
        <f t="shared" si="36"/>
        <v>115750.88079091655</v>
      </c>
      <c r="D88" s="160">
        <f t="shared" si="33"/>
        <v>53.405528391419672</v>
      </c>
      <c r="E88" s="160">
        <f t="shared" si="34"/>
        <v>213908.02822436008</v>
      </c>
      <c r="F88" s="160">
        <f t="shared" si="37"/>
        <v>12604.734659900967</v>
      </c>
      <c r="G88" s="160">
        <f t="shared" si="38"/>
        <v>1658782.8975676191</v>
      </c>
      <c r="H88" s="160">
        <f t="shared" si="39"/>
        <v>249971.38810092368</v>
      </c>
      <c r="I88" s="160">
        <f t="shared" si="40"/>
        <v>1967708.8521672732</v>
      </c>
      <c r="J88" s="160">
        <f t="shared" si="41"/>
        <v>190071.25491791745</v>
      </c>
      <c r="K88" s="160">
        <f t="shared" si="42"/>
        <v>2004995.769228948</v>
      </c>
      <c r="L88" s="80"/>
    </row>
    <row r="89" spans="1:12">
      <c r="A89">
        <v>0.5</v>
      </c>
      <c r="B89" s="160">
        <f t="shared" si="35"/>
        <v>30.598328149544237</v>
      </c>
      <c r="C89" s="160">
        <f t="shared" si="36"/>
        <v>72337.57443912678</v>
      </c>
      <c r="D89" s="160">
        <f t="shared" si="33"/>
        <v>38.624016612571872</v>
      </c>
      <c r="E89" s="160">
        <f t="shared" si="34"/>
        <v>124110.34824274274</v>
      </c>
      <c r="F89" s="160">
        <f t="shared" si="37"/>
        <v>7492.8170333959479</v>
      </c>
      <c r="G89" s="160">
        <f t="shared" si="38"/>
        <v>907657.48771224532</v>
      </c>
      <c r="H89" s="160">
        <f t="shared" si="39"/>
        <v>159148.76015842031</v>
      </c>
      <c r="I89" s="160">
        <f t="shared" si="40"/>
        <v>1130982.5610498041</v>
      </c>
      <c r="J89" s="160">
        <f t="shared" si="41"/>
        <v>132893.66054166085</v>
      </c>
      <c r="K89" s="160">
        <f t="shared" si="42"/>
        <v>1150033.685157286</v>
      </c>
      <c r="L89" s="80"/>
    </row>
    <row r="90" spans="1:12">
      <c r="A90">
        <v>0.6</v>
      </c>
      <c r="B90" s="160">
        <f t="shared" si="35"/>
        <v>28.709047028775185</v>
      </c>
      <c r="C90" s="160">
        <f t="shared" si="36"/>
        <v>48040.858811498969</v>
      </c>
      <c r="D90" s="160">
        <f t="shared" si="33"/>
        <v>29.776975314609686</v>
      </c>
      <c r="E90" s="160">
        <f t="shared" si="34"/>
        <v>77906.725084193546</v>
      </c>
      <c r="F90" s="160">
        <f t="shared" si="37"/>
        <v>4926.4053481245583</v>
      </c>
      <c r="G90" s="160">
        <f t="shared" si="38"/>
        <v>539805.50222510938</v>
      </c>
      <c r="H90" s="160">
        <f t="shared" si="39"/>
        <v>109659.58491383986</v>
      </c>
      <c r="I90" s="160">
        <f t="shared" si="40"/>
        <v>705509.16382968391</v>
      </c>
      <c r="J90" s="160">
        <f t="shared" si="41"/>
        <v>98337.05484108963</v>
      </c>
      <c r="K90" s="160">
        <f t="shared" si="42"/>
        <v>706665.76469209592</v>
      </c>
      <c r="L90" s="80"/>
    </row>
    <row r="91" spans="1:12">
      <c r="A91">
        <v>0.8</v>
      </c>
      <c r="B91" s="160">
        <f t="shared" si="35"/>
        <v>26.849624638858582</v>
      </c>
      <c r="C91" s="160">
        <f t="shared" si="36"/>
        <v>27489.671705145956</v>
      </c>
      <c r="D91" s="160">
        <f t="shared" si="33"/>
        <v>21.251097223397633</v>
      </c>
      <c r="E91" s="160">
        <f t="shared" si="34"/>
        <v>42030.803114416194</v>
      </c>
      <c r="F91" s="160">
        <f t="shared" si="37"/>
        <v>2964.736734239571</v>
      </c>
      <c r="G91" s="160">
        <f t="shared" si="38"/>
        <v>271998.82863024937</v>
      </c>
      <c r="H91" s="160">
        <f t="shared" si="39"/>
        <v>66023.210739134884</v>
      </c>
      <c r="I91" s="160">
        <f t="shared" si="40"/>
        <v>371558.21382533934</v>
      </c>
      <c r="J91" s="160">
        <f t="shared" si="41"/>
        <v>63589.592886795188</v>
      </c>
      <c r="K91" s="160">
        <f t="shared" si="42"/>
        <v>358683.83127861324</v>
      </c>
      <c r="L91" s="80"/>
    </row>
    <row r="92" spans="1:12">
      <c r="A92">
        <v>1</v>
      </c>
      <c r="B92" s="160">
        <f t="shared" si="35"/>
        <v>25.680718974513741</v>
      </c>
      <c r="C92" s="160">
        <f t="shared" si="36"/>
        <v>19428.831975882116</v>
      </c>
      <c r="D92" s="160">
        <f t="shared" si="33"/>
        <v>17.061609557566605</v>
      </c>
      <c r="E92" s="160">
        <f t="shared" si="34"/>
        <v>28838.616578926129</v>
      </c>
      <c r="F92" s="160">
        <f t="shared" si="37"/>
        <v>2252.0014702174703</v>
      </c>
      <c r="G92" s="160">
        <f t="shared" si="38"/>
        <v>179894.15610842971</v>
      </c>
      <c r="H92" s="160">
        <f t="shared" si="39"/>
        <v>47107.504245869459</v>
      </c>
      <c r="I92" s="160">
        <f t="shared" si="40"/>
        <v>246413.42819293553</v>
      </c>
      <c r="J92" s="160">
        <f t="shared" si="41"/>
        <v>46574.37992395035</v>
      </c>
      <c r="K92" s="160">
        <f t="shared" si="42"/>
        <v>232351.01338577416</v>
      </c>
      <c r="L92" s="80"/>
    </row>
    <row r="93" spans="1:12">
      <c r="A93">
        <v>1.5</v>
      </c>
      <c r="B93" s="160">
        <f t="shared" si="35"/>
        <v>23.891415809641209</v>
      </c>
      <c r="C93" s="160">
        <f t="shared" si="36"/>
        <v>11579.324785064491</v>
      </c>
      <c r="D93" s="160">
        <f t="shared" si="33"/>
        <v>12.213614982934748</v>
      </c>
      <c r="E93" s="160">
        <f t="shared" si="34"/>
        <v>16259.230148545916</v>
      </c>
      <c r="F93" s="160">
        <f t="shared" si="37"/>
        <v>1561.0554905835281</v>
      </c>
      <c r="G93" s="160">
        <f t="shared" si="38"/>
        <v>94860.068301760606</v>
      </c>
      <c r="H93" s="160">
        <f t="shared" si="39"/>
        <v>26256.956840535709</v>
      </c>
      <c r="I93" s="160">
        <f t="shared" si="40"/>
        <v>125179.43180526068</v>
      </c>
      <c r="J93" s="160">
        <f t="shared" si="41"/>
        <v>26496.730111415563</v>
      </c>
      <c r="K93" s="160">
        <f t="shared" si="42"/>
        <v>117752.90572775032</v>
      </c>
      <c r="L93" s="80"/>
    </row>
    <row r="94" spans="1:12">
      <c r="A94">
        <v>2</v>
      </c>
      <c r="B94" s="160">
        <f t="shared" si="35"/>
        <v>22.730505152844639</v>
      </c>
      <c r="C94" s="160">
        <f t="shared" si="36"/>
        <v>8727.0427366758104</v>
      </c>
      <c r="D94" s="160">
        <f t="shared" si="33"/>
        <v>10.235095371047663</v>
      </c>
      <c r="E94" s="160">
        <f t="shared" si="34"/>
        <v>11741.691311892908</v>
      </c>
      <c r="F94" s="160">
        <f t="shared" si="37"/>
        <v>1294.1053461181464</v>
      </c>
      <c r="G94" s="160">
        <f t="shared" si="38"/>
        <v>65212.691220834335</v>
      </c>
      <c r="H94" s="160">
        <f t="shared" si="39"/>
        <v>17620.582172323331</v>
      </c>
      <c r="I94" s="160">
        <f t="shared" si="40"/>
        <v>80760.734881456025</v>
      </c>
      <c r="J94" s="160">
        <f t="shared" si="41"/>
        <v>17558.621451616546</v>
      </c>
      <c r="K94" s="160">
        <f t="shared" si="42"/>
        <v>78562.497970030265</v>
      </c>
      <c r="L94" s="80"/>
    </row>
    <row r="95" spans="1:12">
      <c r="A95">
        <v>2.5</v>
      </c>
      <c r="B95" s="160">
        <f t="shared" si="35"/>
        <v>21.735805736602511</v>
      </c>
      <c r="C95" s="160">
        <f t="shared" si="36"/>
        <v>7341.3534940547797</v>
      </c>
      <c r="D95" s="160">
        <f t="shared" si="33"/>
        <v>9.1176291832783622</v>
      </c>
      <c r="E95" s="160">
        <f t="shared" si="34"/>
        <v>9546.2509567436064</v>
      </c>
      <c r="F95" s="160">
        <f t="shared" si="37"/>
        <v>1147.9326886436809</v>
      </c>
      <c r="G95" s="160">
        <f t="shared" si="38"/>
        <v>50853.070493173887</v>
      </c>
      <c r="H95" s="160">
        <f t="shared" si="39"/>
        <v>12809.524218526225</v>
      </c>
      <c r="I95" s="160">
        <f t="shared" si="40"/>
        <v>58373.506221572221</v>
      </c>
      <c r="J95" s="160">
        <f t="shared" si="41"/>
        <v>12435.284994552225</v>
      </c>
      <c r="K95" s="160">
        <f t="shared" si="42"/>
        <v>59565.978965835631</v>
      </c>
      <c r="L95" s="80"/>
    </row>
    <row r="96" spans="1:12">
      <c r="A96">
        <v>3</v>
      </c>
      <c r="B96" s="160">
        <f t="shared" si="35"/>
        <v>20.92204005644345</v>
      </c>
      <c r="C96" s="160">
        <f t="shared" si="36"/>
        <v>6522.3251773843449</v>
      </c>
      <c r="D96" s="160">
        <f t="shared" si="33"/>
        <v>8.3234802433058626</v>
      </c>
      <c r="E96" s="160">
        <f t="shared" si="34"/>
        <v>8235.6636569694874</v>
      </c>
      <c r="F96" s="160">
        <f t="shared" si="37"/>
        <v>1049.8563334434195</v>
      </c>
      <c r="G96" s="160">
        <f t="shared" si="38"/>
        <v>42272.947753301363</v>
      </c>
      <c r="H96" s="160">
        <f t="shared" si="39"/>
        <v>9675.5352664742913</v>
      </c>
      <c r="I96" s="160">
        <f t="shared" si="40"/>
        <v>44790.872990615688</v>
      </c>
      <c r="J96" s="160">
        <f t="shared" si="41"/>
        <v>9102.4942992180895</v>
      </c>
      <c r="K96" s="160">
        <f t="shared" si="42"/>
        <v>48063.209215735209</v>
      </c>
      <c r="L96" s="80"/>
    </row>
    <row r="97" spans="1:12">
      <c r="A97">
        <v>4</v>
      </c>
      <c r="B97" s="160">
        <f t="shared" si="35"/>
        <v>19.80184199580378</v>
      </c>
      <c r="C97" s="160">
        <f t="shared" si="36"/>
        <v>5539.0365113230318</v>
      </c>
      <c r="D97" s="160">
        <f t="shared" si="33"/>
        <v>6.6946792568184827</v>
      </c>
      <c r="E97" s="160">
        <f t="shared" si="34"/>
        <v>6585.9553887324655</v>
      </c>
      <c r="F97" s="160">
        <f t="shared" si="37"/>
        <v>921.34879718027264</v>
      </c>
      <c r="G97" s="160">
        <f t="shared" si="38"/>
        <v>32451.941509954631</v>
      </c>
      <c r="H97" s="160">
        <f t="shared" si="39"/>
        <v>6264.5988076075946</v>
      </c>
      <c r="I97" s="160">
        <f t="shared" si="40"/>
        <v>30125.944232640722</v>
      </c>
      <c r="J97" s="160">
        <f t="shared" si="41"/>
        <v>5484.4907754706828</v>
      </c>
      <c r="K97" s="160">
        <f t="shared" si="42"/>
        <v>34810.321180744839</v>
      </c>
      <c r="L97" s="80"/>
    </row>
    <row r="98" spans="1:12">
      <c r="A98" s="32">
        <v>5</v>
      </c>
      <c r="B98" s="160">
        <f t="shared" si="35"/>
        <v>18.72826335468412</v>
      </c>
      <c r="C98" s="160">
        <f t="shared" si="36"/>
        <v>4897.5922343781076</v>
      </c>
      <c r="D98" s="160">
        <f t="shared" si="33"/>
        <v>5.2082674153374215</v>
      </c>
      <c r="E98" s="160">
        <f t="shared" si="34"/>
        <v>5509.5071699650016</v>
      </c>
      <c r="F98" s="160">
        <f t="shared" si="37"/>
        <v>839.58514285168746</v>
      </c>
      <c r="G98" s="160">
        <f t="shared" si="38"/>
        <v>26908.769347399131</v>
      </c>
      <c r="H98" s="160">
        <f t="shared" si="39"/>
        <v>4574.0923934053453</v>
      </c>
      <c r="I98" s="160">
        <f t="shared" si="40"/>
        <v>22665.336998401232</v>
      </c>
      <c r="J98" s="160">
        <f t="shared" si="41"/>
        <v>3733.064494187337</v>
      </c>
      <c r="K98" s="160">
        <f t="shared" si="42"/>
        <v>27433.030676279079</v>
      </c>
      <c r="L98" s="83"/>
    </row>
    <row r="99" spans="1:12">
      <c r="A99">
        <v>6</v>
      </c>
      <c r="B99" s="160">
        <f t="shared" si="35"/>
        <v>17.886902645807769</v>
      </c>
      <c r="C99" s="160">
        <f t="shared" si="36"/>
        <v>4511.096309954678</v>
      </c>
      <c r="D99" s="160">
        <f t="shared" si="33"/>
        <v>3.8214974919277838</v>
      </c>
      <c r="E99" s="160">
        <f t="shared" si="34"/>
        <v>4796.1872334167501</v>
      </c>
      <c r="F99" s="160">
        <f t="shared" si="37"/>
        <v>793.8347511798321</v>
      </c>
      <c r="G99" s="160">
        <f t="shared" si="38"/>
        <v>24049.480964561208</v>
      </c>
      <c r="H99" s="160">
        <f t="shared" si="39"/>
        <v>3689.0852379836483</v>
      </c>
      <c r="I99" s="160">
        <f t="shared" si="40"/>
        <v>18916.522191152413</v>
      </c>
      <c r="J99" s="160">
        <f t="shared" si="41"/>
        <v>2813.2297225041384</v>
      </c>
      <c r="K99" s="160">
        <f t="shared" si="42"/>
        <v>22695.848585782747</v>
      </c>
      <c r="L99" s="80"/>
    </row>
    <row r="100" spans="1:12">
      <c r="A100">
        <v>7</v>
      </c>
      <c r="B100" s="160">
        <f t="shared" si="35"/>
        <v>16.945489851487988</v>
      </c>
      <c r="C100" s="160">
        <f t="shared" si="36"/>
        <v>4277.4698397877546</v>
      </c>
      <c r="D100" s="160">
        <f t="shared" si="33"/>
        <v>2.307694776922975</v>
      </c>
      <c r="E100" s="160">
        <f t="shared" si="34"/>
        <v>4150.4956161994569</v>
      </c>
      <c r="F100" s="160">
        <f t="shared" si="37"/>
        <v>764.06338503386735</v>
      </c>
      <c r="G100" s="160">
        <f t="shared" si="38"/>
        <v>22381.361749100444</v>
      </c>
      <c r="H100" s="160">
        <f t="shared" si="39"/>
        <v>3134.5744890387791</v>
      </c>
      <c r="I100" s="160">
        <f t="shared" si="40"/>
        <v>16758.857751548378</v>
      </c>
      <c r="J100" s="160">
        <f t="shared" si="41"/>
        <v>2266.0888885873214</v>
      </c>
      <c r="K100" s="160">
        <f t="shared" si="42"/>
        <v>20684.36705231875</v>
      </c>
      <c r="L100" s="80"/>
    </row>
    <row r="101" spans="1:12">
      <c r="A101">
        <v>8</v>
      </c>
      <c r="B101" s="160">
        <f t="shared" si="35"/>
        <v>16.195679525053333</v>
      </c>
      <c r="C101" s="160">
        <f t="shared" si="36"/>
        <v>4019.3916777703685</v>
      </c>
      <c r="D101" s="160">
        <f t="shared" si="33"/>
        <v>1.0536902259021443</v>
      </c>
      <c r="E101" s="160">
        <f t="shared" si="34"/>
        <v>3472.0829519532249</v>
      </c>
      <c r="F101" s="160">
        <f t="shared" si="37"/>
        <v>742.75488474992483</v>
      </c>
      <c r="G101" s="160">
        <f t="shared" si="38"/>
        <v>21240.3503574147</v>
      </c>
      <c r="H101" s="160">
        <f t="shared" si="39"/>
        <v>2765.2626613344396</v>
      </c>
      <c r="I101" s="160">
        <f t="shared" si="40"/>
        <v>15355.164608259141</v>
      </c>
      <c r="J101" s="160">
        <f t="shared" si="41"/>
        <v>1914.7580364302551</v>
      </c>
      <c r="K101" s="160">
        <f t="shared" si="42"/>
        <v>18907.602856149049</v>
      </c>
      <c r="L101" s="80"/>
    </row>
    <row r="102" spans="1:12">
      <c r="A102">
        <v>9</v>
      </c>
      <c r="B102" s="160">
        <f t="shared" si="35"/>
        <v>15.477454110099911</v>
      </c>
      <c r="C102" s="160">
        <f t="shared" si="36"/>
        <v>3853.324299458156</v>
      </c>
      <c r="D102" s="160">
        <f t="shared" si="33"/>
        <v>0.33654749725702271</v>
      </c>
      <c r="E102" s="160">
        <f t="shared" si="34"/>
        <v>2754.6993428158439</v>
      </c>
      <c r="F102" s="160">
        <f t="shared" si="37"/>
        <v>727.40376860713945</v>
      </c>
      <c r="G102" s="160">
        <f t="shared" si="38"/>
        <v>20389.739115950499</v>
      </c>
      <c r="H102" s="160">
        <f t="shared" si="39"/>
        <v>2511.85089269022</v>
      </c>
      <c r="I102" s="160">
        <f t="shared" si="40"/>
        <v>14375.750257028234</v>
      </c>
      <c r="J102" s="160">
        <f t="shared" si="41"/>
        <v>1684.1911819291133</v>
      </c>
      <c r="K102" s="160">
        <f t="shared" si="42"/>
        <v>17662.100295273125</v>
      </c>
      <c r="L102" s="80"/>
    </row>
    <row r="103" spans="1:12">
      <c r="A103">
        <v>10</v>
      </c>
      <c r="B103" s="160">
        <f t="shared" si="35"/>
        <v>14.870731830880606</v>
      </c>
      <c r="C103" s="160">
        <f t="shared" si="36"/>
        <v>3691.4221390088646</v>
      </c>
      <c r="D103" s="160">
        <f t="shared" si="33"/>
        <v>0.26676720948516364</v>
      </c>
      <c r="E103" s="160">
        <f t="shared" si="34"/>
        <v>2558.9182851111023</v>
      </c>
      <c r="F103" s="160">
        <f t="shared" si="37"/>
        <v>710.93724861283499</v>
      </c>
      <c r="G103" s="160">
        <f t="shared" si="38"/>
        <v>19528.520314688518</v>
      </c>
      <c r="H103" s="160">
        <f t="shared" si="39"/>
        <v>2297.8370350251826</v>
      </c>
      <c r="I103" s="160">
        <f t="shared" si="40"/>
        <v>13477.580747585109</v>
      </c>
      <c r="J103" s="160">
        <f t="shared" si="41"/>
        <v>1499.8206729510709</v>
      </c>
      <c r="K103" s="160">
        <f t="shared" si="42"/>
        <v>16536.320467551483</v>
      </c>
      <c r="L103" s="80"/>
    </row>
    <row r="104" spans="1:12">
      <c r="A104">
        <v>12</v>
      </c>
      <c r="B104" s="160">
        <f t="shared" si="35"/>
        <v>14.021998483118727</v>
      </c>
      <c r="C104" s="160">
        <f t="shared" si="36"/>
        <v>3445.0786816619093</v>
      </c>
      <c r="D104" s="160">
        <f t="shared" si="33"/>
        <v>0.24089394063493999</v>
      </c>
      <c r="E104" s="160">
        <f t="shared" si="34"/>
        <v>2380.3808593677545</v>
      </c>
      <c r="F104" s="160">
        <f t="shared" si="37"/>
        <v>684.90880999116109</v>
      </c>
      <c r="G104" s="160">
        <f t="shared" si="38"/>
        <v>18209.524838589379</v>
      </c>
      <c r="H104" s="160">
        <f t="shared" si="39"/>
        <v>2001.1148721953687</v>
      </c>
      <c r="I104" s="160">
        <f t="shared" si="40"/>
        <v>12169.633279900745</v>
      </c>
      <c r="J104" s="160">
        <f t="shared" si="41"/>
        <v>1251.401948319663</v>
      </c>
      <c r="K104" s="160">
        <f t="shared" si="42"/>
        <v>14885.979838764384</v>
      </c>
      <c r="L104" s="80"/>
    </row>
    <row r="105" spans="1:12">
      <c r="A105">
        <v>14</v>
      </c>
      <c r="B105" s="160">
        <f t="shared" si="35"/>
        <v>13.054891803753588</v>
      </c>
      <c r="C105" s="160">
        <f t="shared" si="36"/>
        <v>3207.6571182436314</v>
      </c>
      <c r="D105" s="160">
        <f t="shared" si="33"/>
        <v>0.2207896346714607</v>
      </c>
      <c r="E105" s="160">
        <f t="shared" si="34"/>
        <v>2223.0811420334717</v>
      </c>
      <c r="F105" s="160">
        <f t="shared" si="37"/>
        <v>657.82117521705936</v>
      </c>
      <c r="G105" s="160">
        <f t="shared" si="38"/>
        <v>17038.436157009099</v>
      </c>
      <c r="H105" s="160">
        <f t="shared" si="39"/>
        <v>1757.5949731085941</v>
      </c>
      <c r="I105" s="160">
        <f t="shared" si="40"/>
        <v>11080.505821340061</v>
      </c>
      <c r="J105" s="160">
        <f t="shared" si="41"/>
        <v>1050.5073930869405</v>
      </c>
      <c r="K105" s="160">
        <f t="shared" si="42"/>
        <v>13453.987952839208</v>
      </c>
      <c r="L105" s="80"/>
    </row>
    <row r="106" spans="1:12">
      <c r="A106">
        <v>16</v>
      </c>
      <c r="B106" s="160">
        <f t="shared" si="35"/>
        <v>12.295072196728979</v>
      </c>
      <c r="C106" s="160">
        <f t="shared" si="36"/>
        <v>3019.5358141309625</v>
      </c>
      <c r="D106" s="160">
        <f t="shared" si="33"/>
        <v>0.20905404035560607</v>
      </c>
      <c r="E106" s="160">
        <f t="shared" si="34"/>
        <v>2103.9044895202342</v>
      </c>
      <c r="F106" s="160">
        <f t="shared" si="37"/>
        <v>633.60107181126182</v>
      </c>
      <c r="G106" s="160">
        <f t="shared" si="38"/>
        <v>16116.154743310368</v>
      </c>
      <c r="H106" s="160">
        <f t="shared" si="39"/>
        <v>1577.4093001752831</v>
      </c>
      <c r="I106" s="160">
        <f t="shared" si="40"/>
        <v>10258.518101284695</v>
      </c>
      <c r="J106" s="160">
        <f t="shared" si="41"/>
        <v>904.2771268498476</v>
      </c>
      <c r="K106" s="160">
        <f t="shared" si="42"/>
        <v>12353.981402430458</v>
      </c>
      <c r="L106" s="80"/>
    </row>
    <row r="107" spans="1:12">
      <c r="A107">
        <v>18</v>
      </c>
      <c r="B107" s="160">
        <f t="shared" si="35"/>
        <v>11.491282929552675</v>
      </c>
      <c r="C107" s="160">
        <f t="shared" si="36"/>
        <v>2854.9456727657048</v>
      </c>
      <c r="D107" s="160">
        <f t="shared" si="33"/>
        <v>0.20109566728270678</v>
      </c>
      <c r="E107" s="160">
        <f t="shared" si="34"/>
        <v>2011.7619413933005</v>
      </c>
      <c r="F107" s="160">
        <f t="shared" si="37"/>
        <v>612.67523067630759</v>
      </c>
      <c r="G107" s="160">
        <f t="shared" si="38"/>
        <v>15363.791786274642</v>
      </c>
      <c r="H107" s="160">
        <f t="shared" si="39"/>
        <v>1438.7187193918362</v>
      </c>
      <c r="I107" s="160">
        <f t="shared" si="40"/>
        <v>9619.2512334339663</v>
      </c>
      <c r="J107" s="160">
        <f t="shared" si="41"/>
        <v>792.58173605676291</v>
      </c>
      <c r="K107" s="160">
        <f t="shared" si="42"/>
        <v>11479.838436968004</v>
      </c>
      <c r="L107" s="80"/>
    </row>
    <row r="108" spans="1:12">
      <c r="A108">
        <v>20</v>
      </c>
      <c r="B108" s="160">
        <f t="shared" si="35"/>
        <v>10.785945822940228</v>
      </c>
      <c r="C108" s="160">
        <f>GROWTH(C60:D60,C$35:D$35,C$83)</f>
        <v>2696.6890738332058</v>
      </c>
      <c r="D108" s="160">
        <f t="shared" si="33"/>
        <v>0.19217874911074384</v>
      </c>
      <c r="E108" s="160">
        <f t="shared" si="34"/>
        <v>1915.209547013583</v>
      </c>
      <c r="F108" s="160">
        <f t="shared" si="37"/>
        <v>590.20160648295894</v>
      </c>
      <c r="G108" s="160">
        <f t="shared" si="38"/>
        <v>14566.579928798821</v>
      </c>
      <c r="H108" s="160">
        <f t="shared" si="39"/>
        <v>1315.2276556457036</v>
      </c>
      <c r="I108" s="160">
        <f t="shared" si="40"/>
        <v>8988.9596183735612</v>
      </c>
      <c r="J108" s="160">
        <f t="shared" si="41"/>
        <v>696.91332395437382</v>
      </c>
      <c r="K108" s="160">
        <f t="shared" si="42"/>
        <v>10660.237029385858</v>
      </c>
      <c r="L108" s="80"/>
    </row>
    <row r="109" spans="1:12">
      <c r="B109" s="160"/>
      <c r="C109" s="160"/>
      <c r="D109" s="80"/>
      <c r="E109" s="80"/>
      <c r="F109" s="80"/>
      <c r="G109" s="80"/>
      <c r="H109" s="80"/>
      <c r="I109" s="80"/>
      <c r="J109" s="80"/>
      <c r="K109" s="80"/>
      <c r="L109" s="80"/>
    </row>
    <row r="110" spans="1:12" hidden="1">
      <c r="B110" s="160"/>
      <c r="C110" s="160"/>
      <c r="D110" s="80"/>
      <c r="E110" s="80"/>
      <c r="F110" s="80"/>
      <c r="G110" s="80"/>
      <c r="H110" s="80"/>
      <c r="I110" s="80"/>
      <c r="J110" s="80"/>
      <c r="K110" s="80"/>
      <c r="L110" s="80"/>
    </row>
    <row r="111" spans="1:12" hidden="1">
      <c r="B111" s="160"/>
      <c r="C111" s="160"/>
      <c r="D111" s="80"/>
      <c r="E111" s="80"/>
      <c r="F111" s="80"/>
      <c r="G111" s="80"/>
      <c r="H111" s="80"/>
      <c r="I111" s="80"/>
      <c r="J111" s="80"/>
      <c r="K111" s="80"/>
      <c r="L111" s="80"/>
    </row>
    <row r="112" spans="1:12" hidden="1">
      <c r="B112" s="160"/>
      <c r="C112" s="160"/>
      <c r="D112" s="80"/>
      <c r="E112" s="80"/>
      <c r="F112" s="80"/>
      <c r="G112" s="80"/>
      <c r="H112" s="80"/>
      <c r="I112" s="80"/>
      <c r="J112" s="80"/>
      <c r="K112" s="80"/>
      <c r="L112" s="80"/>
    </row>
    <row r="113" spans="1:16" hidden="1">
      <c r="B113" s="160"/>
      <c r="C113" s="160"/>
      <c r="D113" s="80"/>
      <c r="E113" s="80"/>
      <c r="F113" s="80"/>
      <c r="G113" s="80"/>
      <c r="H113" s="80"/>
      <c r="I113" s="80"/>
      <c r="J113" s="80"/>
      <c r="K113" s="80"/>
      <c r="L113" s="80"/>
    </row>
    <row r="114" spans="1:16" hidden="1">
      <c r="B114" s="160"/>
      <c r="C114" s="160"/>
      <c r="D114" s="80"/>
      <c r="E114" s="80"/>
      <c r="F114" s="80"/>
      <c r="G114" s="80"/>
      <c r="H114" s="80"/>
      <c r="I114" s="80"/>
      <c r="J114" s="80"/>
      <c r="K114" s="80"/>
      <c r="L114" s="80"/>
    </row>
    <row r="115" spans="1:16">
      <c r="A115" s="85"/>
      <c r="B115" s="80"/>
      <c r="C115" s="80"/>
      <c r="D115" s="80"/>
      <c r="E115" s="80"/>
      <c r="F115" s="80"/>
      <c r="G115" s="80"/>
      <c r="H115" s="80"/>
      <c r="I115" s="80"/>
      <c r="J115" s="80"/>
      <c r="K115" s="80"/>
      <c r="L115" s="80"/>
      <c r="M115" s="80"/>
      <c r="N115" s="80"/>
      <c r="O115" s="80"/>
      <c r="P115" s="80"/>
    </row>
    <row r="116" spans="1:16">
      <c r="A116" s="175" t="s">
        <v>408</v>
      </c>
      <c r="B116" s="173"/>
      <c r="C116" s="174"/>
      <c r="D116" s="174"/>
      <c r="E116" s="174"/>
      <c r="F116" s="160"/>
      <c r="G116" s="154" t="s">
        <v>774</v>
      </c>
      <c r="H116" s="154"/>
      <c r="I116" s="154"/>
      <c r="J116" s="154"/>
      <c r="K116" s="154"/>
      <c r="L116" s="154"/>
      <c r="M116" s="80"/>
      <c r="N116" s="80"/>
      <c r="O116" s="80"/>
      <c r="P116" s="80"/>
    </row>
    <row r="117" spans="1:16">
      <c r="A117" s="172" t="s">
        <v>703</v>
      </c>
      <c r="B117" s="173"/>
      <c r="C117" s="174"/>
      <c r="D117" s="174"/>
      <c r="E117" s="174"/>
      <c r="F117" s="174"/>
      <c r="G117" s="174"/>
      <c r="H117" s="174"/>
      <c r="I117" s="160"/>
      <c r="J117" s="160"/>
      <c r="K117" s="160"/>
      <c r="L117" s="160"/>
      <c r="M117" s="160"/>
      <c r="N117" s="160"/>
      <c r="O117" s="160"/>
      <c r="P117" s="160"/>
    </row>
    <row r="118" spans="1:16">
      <c r="B118" s="607" t="s">
        <v>769</v>
      </c>
      <c r="C118" s="607"/>
      <c r="D118" s="607" t="s">
        <v>770</v>
      </c>
      <c r="E118" s="607"/>
      <c r="F118" s="607" t="s">
        <v>773</v>
      </c>
      <c r="G118" s="607"/>
      <c r="H118" s="607" t="s">
        <v>771</v>
      </c>
      <c r="I118" s="607"/>
      <c r="J118" s="607" t="s">
        <v>772</v>
      </c>
      <c r="K118" s="607"/>
      <c r="L118" s="156"/>
      <c r="M118" s="156"/>
      <c r="N118" s="156"/>
      <c r="O118" s="156"/>
      <c r="P118" s="156"/>
    </row>
    <row r="119" spans="1:16">
      <c r="A119" s="162"/>
      <c r="B119" s="156">
        <f>Orbbaix</f>
        <v>600</v>
      </c>
      <c r="C119" s="156">
        <f>Orbalta</f>
        <v>1200</v>
      </c>
      <c r="D119" s="156">
        <f>Orbbaix</f>
        <v>600</v>
      </c>
      <c r="E119" s="156">
        <f>Orbalta</f>
        <v>1200</v>
      </c>
      <c r="F119" s="156">
        <f>Orbbaix</f>
        <v>600</v>
      </c>
      <c r="G119" s="156">
        <f>Orbalta</f>
        <v>1200</v>
      </c>
      <c r="H119" s="156">
        <f>Orbbaix</f>
        <v>600</v>
      </c>
      <c r="I119" s="156">
        <f>Orbalta</f>
        <v>1200</v>
      </c>
      <c r="J119" s="156">
        <f>Orbbaix</f>
        <v>600</v>
      </c>
      <c r="K119" s="156">
        <f>Orbalta</f>
        <v>1200</v>
      </c>
      <c r="L119" s="156"/>
      <c r="M119" s="156"/>
      <c r="N119" s="156"/>
      <c r="O119" s="156"/>
      <c r="P119" s="156"/>
    </row>
    <row r="120" spans="1:16">
      <c r="A120" s="157" t="s">
        <v>704</v>
      </c>
      <c r="B120" s="160">
        <f ca="1">INDIRECT(ADDRESS(83+MATCH(SUM(TIDbcx,TIDbfs),$A84:$A108,1),2),1)</f>
        <v>19.80184199580378</v>
      </c>
      <c r="C120" s="160">
        <f ca="1">INDIRECT(ADDRESS(83+MATCH(SUM(TIDbcx,TIDbfs),$A84:$A108,1),3),1)</f>
        <v>5539.0365113230318</v>
      </c>
      <c r="D120" s="160">
        <f ca="1">INDIRECT(ADDRESS(83+MATCH(SUM(TIDbcx,TIDbfs),$A84:$A108,1),4),1)</f>
        <v>6.6946792568184827</v>
      </c>
      <c r="E120" s="160">
        <f ca="1">INDIRECT(ADDRESS(83+MATCH(SUM(TIDbcx,TIDbfs),$A84:$A108,1),5),1)</f>
        <v>6585.9553887324655</v>
      </c>
      <c r="F120" s="160">
        <f ca="1">INDIRECT(ADDRESS(83+MATCH(SUM(TIDbcx,TIDbfs),$A84:$A108,1),6),1)</f>
        <v>921.34879718027264</v>
      </c>
      <c r="G120" s="160">
        <f ca="1">INDIRECT(ADDRESS(83+MATCH(SUM(TIDbcx,TIDbfs),$A84:$A108,1),7),1)</f>
        <v>32451.941509954631</v>
      </c>
      <c r="H120" s="160">
        <f ca="1">INDIRECT(ADDRESS(83+MATCH(SUM(TIDbcx,TIDbfs),$A84:$A108,1),8),1)</f>
        <v>6264.5988076075946</v>
      </c>
      <c r="I120" s="160">
        <f ca="1">INDIRECT(ADDRESS(83+MATCH(SUM(TIDbcx,TIDbfs),$A84:$A108,1),9),1)</f>
        <v>30125.944232640722</v>
      </c>
      <c r="J120" s="160">
        <f ca="1">INDIRECT(ADDRESS(83+MATCH(SUM(TIDbcx,TIDbfs),$A84:$A108,1),10),1)</f>
        <v>5484.4907754706828</v>
      </c>
      <c r="K120" s="160">
        <f ca="1">INDIRECT(ADDRESS(83+MATCH(SUM(TIDbcx,TIDbfs),$A84:$A108,1),11),1)</f>
        <v>34810.321180744839</v>
      </c>
      <c r="L120" s="160"/>
      <c r="M120" s="160"/>
      <c r="N120" s="160"/>
      <c r="O120" s="160"/>
      <c r="P120" s="160"/>
    </row>
    <row r="121" spans="1:16">
      <c r="A121" s="155" t="s">
        <v>396</v>
      </c>
      <c r="B121" s="159">
        <f t="shared" ref="B121:K121" ca="1" si="43">IF(IF(B120/1000&lt;TIDQT,0,1)=0,0,1)</f>
        <v>0</v>
      </c>
      <c r="C121" s="159">
        <f t="shared" ca="1" si="43"/>
        <v>0</v>
      </c>
      <c r="D121" s="159">
        <f t="shared" ca="1" si="43"/>
        <v>0</v>
      </c>
      <c r="E121" s="159">
        <f t="shared" ca="1" si="43"/>
        <v>0</v>
      </c>
      <c r="F121" s="159">
        <f t="shared" ca="1" si="43"/>
        <v>0</v>
      </c>
      <c r="G121" s="159">
        <f t="shared" ca="1" si="43"/>
        <v>1</v>
      </c>
      <c r="H121" s="159">
        <f t="shared" ca="1" si="43"/>
        <v>0</v>
      </c>
      <c r="I121" s="159">
        <f t="shared" ca="1" si="43"/>
        <v>1</v>
      </c>
      <c r="J121" s="159">
        <f t="shared" ca="1" si="43"/>
        <v>0</v>
      </c>
      <c r="K121" s="159">
        <f t="shared" ca="1" si="43"/>
        <v>1</v>
      </c>
      <c r="L121" s="159"/>
      <c r="M121" s="159"/>
      <c r="N121" s="159"/>
      <c r="O121" s="159"/>
      <c r="P121" s="159"/>
    </row>
    <row r="122" spans="1:16">
      <c r="A122" s="155" t="s">
        <v>397</v>
      </c>
      <c r="B122" s="164">
        <f t="shared" ref="B122:J122" ca="1" si="44">IF(B121=0,0,INDIRECT(ADDRESS(MATCH(1000*TIDQT,B85:B108,-1)+84,1,4,1),1)-TIDbcx-TIDbfs)</f>
        <v>0</v>
      </c>
      <c r="C122" s="164">
        <f t="shared" ca="1" si="44"/>
        <v>0</v>
      </c>
      <c r="D122" s="164">
        <f t="shared" ca="1" si="44"/>
        <v>0</v>
      </c>
      <c r="E122" s="164">
        <f t="shared" ca="1" si="44"/>
        <v>0</v>
      </c>
      <c r="F122" s="164">
        <f t="shared" ca="1" si="44"/>
        <v>0</v>
      </c>
      <c r="G122" s="164">
        <f ca="1">IF(G121=0,0,INDIRECT(ADDRESS(MATCH(1000*TIDQT,G84:G108,-1)+84,1,4,1),1)-TIDbcx-TIDbfs)</f>
        <v>6</v>
      </c>
      <c r="H122" s="164">
        <f ca="1">IF(H121=0,0,INDIRECT(ADDRESS(MATCH(1000*TIDQT,H84:H108,-1)+84,1,4,1),1)-TIDbcx-TIDbfs)</f>
        <v>0</v>
      </c>
      <c r="I122" s="164">
        <f ca="1">IF(I121=0,0,INDIRECT(ADDRESS(MATCH(1000*TIDQT,I84:I108,-1)+84,1,4,1),1)-TIDbcx-TIDbfs)</f>
        <v>2</v>
      </c>
      <c r="J122" s="164">
        <f t="shared" ca="1" si="44"/>
        <v>0</v>
      </c>
      <c r="K122" s="164">
        <f ca="1">IF(K121=0,0,INDIRECT(ADDRESS(MATCH(1000*TIDQT,K84:K108,-1)+84,1,4,1),1)-TIDbcx-TIDbfs)</f>
        <v>4</v>
      </c>
      <c r="L122" s="164"/>
      <c r="M122" s="164"/>
      <c r="N122" s="164"/>
      <c r="O122" s="164"/>
      <c r="P122" s="164"/>
    </row>
    <row r="123" spans="1:16">
      <c r="A123" s="155"/>
      <c r="B123" s="165"/>
      <c r="C123" s="165"/>
      <c r="D123" s="165"/>
      <c r="E123" s="165"/>
      <c r="F123" s="165"/>
      <c r="G123" s="165"/>
      <c r="H123" s="165"/>
      <c r="I123" s="165"/>
      <c r="J123" s="165"/>
      <c r="K123" s="165"/>
      <c r="L123" s="165"/>
      <c r="M123" s="165"/>
      <c r="N123" s="165"/>
      <c r="O123" s="165"/>
      <c r="P123" s="165"/>
    </row>
    <row r="124" spans="1:16">
      <c r="A124" s="175" t="s">
        <v>409</v>
      </c>
      <c r="B124" s="176"/>
      <c r="C124" s="155"/>
      <c r="D124" s="168"/>
      <c r="E124" s="168"/>
      <c r="F124" s="168"/>
      <c r="G124" s="168"/>
      <c r="H124" s="163"/>
      <c r="I124" s="163"/>
      <c r="J124" s="163"/>
      <c r="K124" s="163"/>
      <c r="L124" s="163"/>
      <c r="M124" s="163"/>
      <c r="N124" s="163"/>
      <c r="O124" s="163"/>
      <c r="P124" s="163"/>
    </row>
    <row r="125" spans="1:16">
      <c r="A125" s="177" t="s">
        <v>768</v>
      </c>
      <c r="B125" s="174"/>
      <c r="C125" s="174"/>
      <c r="D125" s="174"/>
      <c r="E125" s="174"/>
      <c r="F125" s="174"/>
      <c r="G125" s="174"/>
      <c r="H125" s="160"/>
      <c r="I125" s="160"/>
      <c r="J125" s="160"/>
      <c r="K125" s="160"/>
      <c r="L125" s="156"/>
      <c r="M125" s="156"/>
      <c r="N125" s="156"/>
      <c r="O125" s="156"/>
      <c r="P125" s="156"/>
    </row>
    <row r="126" spans="1:16">
      <c r="A126" s="157" t="s">
        <v>425</v>
      </c>
      <c r="B126" s="160">
        <f ca="1">INDIRECT(ADDRESS(83+MATCH(TIDbfs+TIDbcxa,$A84:$A108,1),2),1)</f>
        <v>19.80184199580378</v>
      </c>
      <c r="C126" s="160">
        <f ca="1">INDIRECT(ADDRESS(83+MATCH(TIDbfs+TIDbcxa,$A84:$A108,1),3),1)</f>
        <v>5539.0365113230318</v>
      </c>
      <c r="D126" s="160">
        <f ca="1">INDIRECT(ADDRESS(83+MATCH(TIDbfs+TIDbcxa,$A84:$A108,1),4),1)</f>
        <v>6.6946792568184827</v>
      </c>
      <c r="E126" s="160">
        <f ca="1">INDIRECT(ADDRESS(83+MATCH(TIDbfs+TIDbcxa,$A84:$A108,1),5),1)</f>
        <v>6585.9553887324655</v>
      </c>
      <c r="F126" s="160">
        <f ca="1">INDIRECT(ADDRESS(83+MATCH(TIDbfs+TIDbcxa,$A84:$A108,1),6),1)</f>
        <v>921.34879718027264</v>
      </c>
      <c r="G126" s="160">
        <f ca="1">INDIRECT(ADDRESS(83+MATCH(TIDbfs+TIDbcxa,$A84:$A108,1),7),1)</f>
        <v>32451.941509954631</v>
      </c>
      <c r="H126" s="160">
        <f ca="1">INDIRECT(ADDRESS(83+MATCH(TIDbfs+TIDbcxa,$A84:$A108,1),8),1)</f>
        <v>6264.5988076075946</v>
      </c>
      <c r="I126" s="160">
        <f ca="1">INDIRECT(ADDRESS(83+MATCH(TIDbfs+TIDbcxa,$A84:$A108,1),9),1)</f>
        <v>30125.944232640722</v>
      </c>
      <c r="J126" s="160">
        <f ca="1">INDIRECT(ADDRESS(83+MATCH(TIDbfs+TIDbcxa,$A84:$A108,1),10),1)</f>
        <v>5484.4907754706828</v>
      </c>
      <c r="K126" s="160">
        <f ca="1">INDIRECT(ADDRESS(83+MATCH(TIDbfs+TIDbcxa,$A84:$A108,1),11),1)</f>
        <v>34810.321180744839</v>
      </c>
      <c r="L126" s="160"/>
      <c r="M126" s="160"/>
      <c r="N126" s="160"/>
      <c r="O126" s="160"/>
      <c r="P126" s="160"/>
    </row>
    <row r="127" spans="1:16">
      <c r="A127" s="155" t="s">
        <v>396</v>
      </c>
      <c r="B127" s="159">
        <f t="shared" ref="B127:K127" ca="1" si="45">IF(IF(B126/1000&lt;TIDEqAd,0,1)=0,0,1)</f>
        <v>0</v>
      </c>
      <c r="C127" s="159">
        <f t="shared" ca="1" si="45"/>
        <v>0</v>
      </c>
      <c r="D127" s="159">
        <f t="shared" ca="1" si="45"/>
        <v>0</v>
      </c>
      <c r="E127" s="159">
        <f t="shared" ca="1" si="45"/>
        <v>0</v>
      </c>
      <c r="F127" s="159">
        <f t="shared" ca="1" si="45"/>
        <v>0</v>
      </c>
      <c r="G127" s="159">
        <f t="shared" ca="1" si="45"/>
        <v>1</v>
      </c>
      <c r="H127" s="159">
        <f t="shared" ca="1" si="45"/>
        <v>0</v>
      </c>
      <c r="I127" s="159">
        <f t="shared" ca="1" si="45"/>
        <v>1</v>
      </c>
      <c r="J127" s="159">
        <f t="shared" ca="1" si="45"/>
        <v>0</v>
      </c>
      <c r="K127" s="159">
        <f t="shared" ca="1" si="45"/>
        <v>1</v>
      </c>
      <c r="L127" s="159"/>
      <c r="M127" s="159"/>
      <c r="N127" s="159"/>
      <c r="O127" s="159"/>
      <c r="P127" s="159"/>
    </row>
    <row r="128" spans="1:16">
      <c r="A128" s="155" t="s">
        <v>397</v>
      </c>
      <c r="B128" s="164">
        <f ca="1">IF(B127=0,0,INDIRECT(ADDRESS(MATCH(1000*(TIDEqAd),B84:B108,-1)+84,1,4,1),1)-TIDbfss-TIDbcxa)</f>
        <v>0</v>
      </c>
      <c r="C128" s="164">
        <f ca="1">IF(C127=0,0,INDIRECT(ADDRESS(MATCH(1000*(TIDEqAd),C84:C108,-1)+84,1,4,1),1)-TIDbfss-TIDbcxa)</f>
        <v>0</v>
      </c>
      <c r="D128" s="164">
        <f ca="1">IF(D127=0,0,INDIRECT(ADDRESS(MATCH(1000*(TIDEqAd),D84:D108,-1)+84,1,4,1),1)-TIDbfss-TIDbcxa)</f>
        <v>0</v>
      </c>
      <c r="E128" s="164">
        <f ca="1">IF(E127=0,0,INDIRECT(ADDRESS(MATCH(1000*(TIDEqAd),E84:E108,-1)+84,1,4,1),1)-TIDbfss-TIDbcxa)</f>
        <v>0</v>
      </c>
      <c r="F128" s="164">
        <f ca="1">IF(F127=0,0,INDIRECT(ADDRESS(MATCH(1000*(TIDEqAd),F84:F108,-1)+84,1,4,1),1)-TIDbfss-TIDbcxa)</f>
        <v>0</v>
      </c>
      <c r="G128" s="164">
        <f ca="1">IF(G127=0,0,INDIRECT(ADDRESS(MATCH(1000*(TIDEqAd),G84:G108,-1)+84,1,4,1),1)-TIDbfs-TIDbcxa)</f>
        <v>1</v>
      </c>
      <c r="H128" s="164">
        <f ca="1">IF(H127=0,0,INDIRECT(ADDRESS(MATCH(1000*(TIDEqAd),H84:H108,-1)+84,1,4,1),1)-TIDbfss-TIDbcxa)</f>
        <v>0</v>
      </c>
      <c r="I128" s="164">
        <f ca="1">IF(I127=0,0,INDIRECT(ADDRESS(MATCH(1000*(TIDEqAd),I84:I108,-1)+84,1,4,1),1)-TIDbfs-TIDbcxa)</f>
        <v>1</v>
      </c>
      <c r="J128" s="164">
        <f ca="1">IF(J127=0,0,INDIRECT(ADDRESS(MATCH(1000*(TIDEqAd),J84:J108,-1)+84,1,4,1),1)-TIDbfss-TIDbcxa)</f>
        <v>0</v>
      </c>
      <c r="K128" s="164">
        <f ca="1">IF(K127=0,0,INDIRECT(ADDRESS(MATCH(1000*(TIDEqAd),K84:K108,-1)+84,1,4,1),1)-TIDbfs-TIDbcxa)</f>
        <v>1</v>
      </c>
      <c r="L128" s="164"/>
      <c r="M128" s="164"/>
      <c r="N128" s="164"/>
      <c r="O128" s="164"/>
      <c r="P128" s="164"/>
    </row>
    <row r="129" spans="1:16">
      <c r="A129" s="155"/>
      <c r="B129" s="165"/>
      <c r="C129" s="165"/>
      <c r="D129" s="165"/>
      <c r="E129" s="165"/>
      <c r="F129" s="165"/>
      <c r="G129" s="165"/>
      <c r="H129" s="165"/>
      <c r="I129" s="165"/>
      <c r="J129" s="165"/>
      <c r="K129" s="165"/>
      <c r="L129" s="165"/>
      <c r="M129" s="165"/>
      <c r="N129" s="165"/>
      <c r="O129" s="165"/>
      <c r="P129" s="165"/>
    </row>
    <row r="130" spans="1:16">
      <c r="A130" t="s">
        <v>863</v>
      </c>
      <c r="B130" t="s">
        <v>864</v>
      </c>
    </row>
  </sheetData>
  <sheetProtection password="CAF5" sheet="1" objects="1" scenarios="1"/>
  <mergeCells count="10">
    <mergeCell ref="J82:K82"/>
    <mergeCell ref="B82:C82"/>
    <mergeCell ref="D82:E82"/>
    <mergeCell ref="F82:G82"/>
    <mergeCell ref="H82:I82"/>
    <mergeCell ref="B118:C118"/>
    <mergeCell ref="D118:E118"/>
    <mergeCell ref="F118:G118"/>
    <mergeCell ref="H118:I118"/>
    <mergeCell ref="J118:K118"/>
  </mergeCells>
  <pageMargins left="0.7" right="0.7" top="0.75" bottom="0.75" header="0.3" footer="0.3"/>
  <pageSetup paperSize="9" orientation="portrait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>
  <dimension ref="A1:M47"/>
  <sheetViews>
    <sheetView topLeftCell="A18" zoomScale="125" zoomScaleNormal="125" zoomScalePageLayoutView="125" workbookViewId="0">
      <selection activeCell="H37" sqref="H37:J39"/>
    </sheetView>
  </sheetViews>
  <sheetFormatPr defaultColWidth="8.85546875" defaultRowHeight="15"/>
  <cols>
    <col min="3" max="3" width="11.85546875" bestFit="1" customWidth="1"/>
    <col min="4" max="4" width="11.140625" bestFit="1" customWidth="1"/>
    <col min="6" max="6" width="10.42578125" customWidth="1"/>
    <col min="7" max="7" width="10.85546875" customWidth="1"/>
    <col min="8" max="8" width="9" customWidth="1"/>
    <col min="10" max="10" width="10.42578125" customWidth="1"/>
  </cols>
  <sheetData>
    <row r="1" spans="1:9" ht="15.75" thickBot="1">
      <c r="D1" s="32"/>
    </row>
    <row r="2" spans="1:9" ht="30">
      <c r="A2" s="388" t="s">
        <v>868</v>
      </c>
      <c r="B2" s="475"/>
      <c r="C2" s="476" t="s">
        <v>869</v>
      </c>
      <c r="D2" s="476" t="s">
        <v>870</v>
      </c>
      <c r="E2" s="476" t="s">
        <v>853</v>
      </c>
      <c r="F2" s="476" t="s">
        <v>871</v>
      </c>
      <c r="G2" s="477" t="s">
        <v>873</v>
      </c>
      <c r="H2" s="97"/>
      <c r="I2" s="97"/>
    </row>
    <row r="3" spans="1:9" ht="15.75" thickBot="1">
      <c r="A3" s="389"/>
      <c r="B3" s="207"/>
      <c r="C3" s="478"/>
      <c r="D3" s="479" t="s">
        <v>865</v>
      </c>
      <c r="E3" s="479" t="s">
        <v>866</v>
      </c>
      <c r="F3" s="479" t="s">
        <v>867</v>
      </c>
      <c r="G3" s="480"/>
    </row>
    <row r="4" spans="1:9">
      <c r="A4" s="389"/>
      <c r="B4" s="475" t="s">
        <v>337</v>
      </c>
      <c r="C4" s="558" t="s">
        <v>455</v>
      </c>
      <c r="D4" s="558">
        <f>(132/1000)*DenHidra</f>
        <v>136.22400000000002</v>
      </c>
      <c r="E4" s="558">
        <v>6.4</v>
      </c>
      <c r="F4" s="200">
        <f>+E4/D4</f>
        <v>4.6981442330279538E-2</v>
      </c>
      <c r="G4" s="561">
        <v>0</v>
      </c>
    </row>
    <row r="5" spans="1:9">
      <c r="A5" s="389"/>
      <c r="B5" s="202" t="s">
        <v>338</v>
      </c>
      <c r="C5" s="559" t="s">
        <v>454</v>
      </c>
      <c r="D5" s="559">
        <f>(78/1000)*DenHidra</f>
        <v>80.495999999999995</v>
      </c>
      <c r="E5" s="559">
        <v>6.4</v>
      </c>
      <c r="F5" s="192">
        <f t="shared" ref="F5:F6" si="0">+E5/D5</f>
        <v>7.9507056251242311E-2</v>
      </c>
      <c r="G5" s="562">
        <v>0</v>
      </c>
    </row>
    <row r="6" spans="1:9" ht="15.75" thickBot="1">
      <c r="A6" s="389"/>
      <c r="B6" s="207" t="s">
        <v>339</v>
      </c>
      <c r="C6" s="560" t="s">
        <v>456</v>
      </c>
      <c r="D6" s="560">
        <f>(45/1000)*DenHidra</f>
        <v>46.44</v>
      </c>
      <c r="E6" s="560">
        <v>6</v>
      </c>
      <c r="F6" s="478">
        <f t="shared" si="0"/>
        <v>0.12919896640826875</v>
      </c>
      <c r="G6" s="563">
        <v>1</v>
      </c>
    </row>
    <row r="7" spans="1:9" ht="15.75" thickBot="1">
      <c r="A7" s="389"/>
      <c r="B7" s="481" t="s">
        <v>872</v>
      </c>
      <c r="C7" s="482"/>
      <c r="D7" s="482"/>
      <c r="E7" s="482"/>
      <c r="F7" s="494">
        <f>SUM(F4*G4+F5*G5+F6*G6)/G7</f>
        <v>0.12919896640826875</v>
      </c>
      <c r="G7" s="484">
        <f>SUM(G4:G6)</f>
        <v>1</v>
      </c>
    </row>
    <row r="9" spans="1:9" ht="15.75" thickBot="1">
      <c r="A9" s="175" t="s">
        <v>850</v>
      </c>
      <c r="B9" s="177"/>
      <c r="C9" s="177"/>
      <c r="D9" s="177"/>
      <c r="E9" s="177"/>
      <c r="F9" s="177"/>
      <c r="G9" s="177"/>
    </row>
    <row r="10" spans="1:9" ht="30">
      <c r="A10" s="177"/>
      <c r="B10" s="452"/>
      <c r="C10" s="453" t="s">
        <v>851</v>
      </c>
      <c r="D10" s="453" t="s">
        <v>852</v>
      </c>
      <c r="E10" s="453" t="s">
        <v>853</v>
      </c>
      <c r="F10" s="453" t="s">
        <v>854</v>
      </c>
      <c r="G10" s="454" t="s">
        <v>855</v>
      </c>
      <c r="H10" s="32"/>
    </row>
    <row r="11" spans="1:9" ht="15.75" thickBot="1">
      <c r="A11" s="177"/>
      <c r="B11" s="455"/>
      <c r="C11" s="456"/>
      <c r="D11" s="457" t="s">
        <v>94</v>
      </c>
      <c r="E11" s="457" t="s">
        <v>65</v>
      </c>
      <c r="F11" s="457" t="s">
        <v>879</v>
      </c>
      <c r="G11" s="458"/>
      <c r="H11" s="32"/>
    </row>
    <row r="12" spans="1:9">
      <c r="A12" s="177"/>
      <c r="B12" s="452" t="s">
        <v>337</v>
      </c>
      <c r="C12" s="564" t="s">
        <v>445</v>
      </c>
      <c r="D12" s="564">
        <v>23</v>
      </c>
      <c r="E12" s="564">
        <v>7</v>
      </c>
      <c r="F12" s="459">
        <f>+E12/D12</f>
        <v>0.30434782608695654</v>
      </c>
      <c r="G12" s="567">
        <v>0</v>
      </c>
      <c r="H12" s="32"/>
    </row>
    <row r="13" spans="1:9">
      <c r="A13" s="177"/>
      <c r="B13" s="460" t="s">
        <v>338</v>
      </c>
      <c r="C13" s="565" t="s">
        <v>444</v>
      </c>
      <c r="D13" s="565">
        <v>15</v>
      </c>
      <c r="E13" s="565">
        <v>7.7</v>
      </c>
      <c r="F13" s="451">
        <f t="shared" ref="F13:F14" si="1">+E13/D13</f>
        <v>0.51333333333333331</v>
      </c>
      <c r="G13" s="568">
        <v>0</v>
      </c>
      <c r="H13" s="32"/>
    </row>
    <row r="14" spans="1:9" ht="15.75" thickBot="1">
      <c r="A14" s="177"/>
      <c r="B14" s="455" t="s">
        <v>339</v>
      </c>
      <c r="C14" s="566" t="s">
        <v>724</v>
      </c>
      <c r="D14" s="566">
        <v>12</v>
      </c>
      <c r="E14" s="566">
        <v>4.8499999999999996</v>
      </c>
      <c r="F14" s="456">
        <f t="shared" si="1"/>
        <v>0.40416666666666662</v>
      </c>
      <c r="G14" s="569">
        <v>1</v>
      </c>
      <c r="H14" s="32"/>
    </row>
    <row r="15" spans="1:9" ht="15.75" thickBot="1">
      <c r="A15" s="177"/>
      <c r="B15" s="461" t="s">
        <v>872</v>
      </c>
      <c r="C15" s="462"/>
      <c r="D15" s="462"/>
      <c r="E15" s="462"/>
      <c r="F15" s="495">
        <f>SUM(F12*G12+F13*G13+F14*G14)/G15</f>
        <v>0.40416666666666662</v>
      </c>
      <c r="G15" s="463">
        <f>SUM(G12:G14)</f>
        <v>1</v>
      </c>
      <c r="H15" s="32"/>
    </row>
    <row r="17" spans="1:13" ht="15.75" thickBot="1">
      <c r="A17" s="388" t="s">
        <v>874</v>
      </c>
      <c r="B17" s="389"/>
      <c r="C17" s="389"/>
      <c r="D17" s="389"/>
      <c r="E17" s="389"/>
      <c r="F17" s="389"/>
      <c r="G17" s="389"/>
    </row>
    <row r="18" spans="1:13" ht="30">
      <c r="A18" s="389"/>
      <c r="B18" s="475"/>
      <c r="C18" s="476" t="s">
        <v>869</v>
      </c>
      <c r="D18" s="476" t="s">
        <v>852</v>
      </c>
      <c r="E18" s="476" t="s">
        <v>875</v>
      </c>
      <c r="F18" s="476" t="s">
        <v>871</v>
      </c>
      <c r="G18" s="477" t="s">
        <v>873</v>
      </c>
      <c r="H18" s="32"/>
    </row>
    <row r="19" spans="1:13" ht="18" thickBot="1">
      <c r="A19" s="389"/>
      <c r="B19" s="207"/>
      <c r="C19" s="478"/>
      <c r="D19" s="479" t="s">
        <v>340</v>
      </c>
      <c r="E19" s="479" t="s">
        <v>65</v>
      </c>
      <c r="F19" s="479" t="s">
        <v>880</v>
      </c>
      <c r="G19" s="480"/>
      <c r="H19" s="32"/>
      <c r="J19" s="32"/>
      <c r="K19" s="32"/>
      <c r="L19" s="32"/>
      <c r="M19" s="32"/>
    </row>
    <row r="20" spans="1:13">
      <c r="A20" s="389"/>
      <c r="B20" s="475" t="s">
        <v>498</v>
      </c>
      <c r="C20" s="558" t="s">
        <v>723</v>
      </c>
      <c r="D20" s="558">
        <v>12</v>
      </c>
      <c r="E20" s="558">
        <v>0.41</v>
      </c>
      <c r="F20" s="200">
        <f>+E20/D20</f>
        <v>3.4166666666666665E-2</v>
      </c>
      <c r="G20" s="561">
        <v>1</v>
      </c>
      <c r="H20" s="32"/>
    </row>
    <row r="21" spans="1:13">
      <c r="A21" s="389"/>
      <c r="B21" s="202" t="s">
        <v>338</v>
      </c>
      <c r="C21" s="559" t="s">
        <v>446</v>
      </c>
      <c r="D21" s="559">
        <v>30</v>
      </c>
      <c r="E21" s="559">
        <v>0.68</v>
      </c>
      <c r="F21" s="192">
        <f t="shared" ref="F21:F22" si="2">+E21/D21</f>
        <v>2.2666666666666668E-2</v>
      </c>
      <c r="G21" s="562">
        <v>0</v>
      </c>
      <c r="H21" s="32"/>
    </row>
    <row r="22" spans="1:13" ht="15.75" thickBot="1">
      <c r="A22" s="389"/>
      <c r="B22" s="207" t="s">
        <v>339</v>
      </c>
      <c r="C22" s="560"/>
      <c r="D22" s="560">
        <v>1</v>
      </c>
      <c r="E22" s="560">
        <v>1</v>
      </c>
      <c r="F22" s="212">
        <f t="shared" si="2"/>
        <v>1</v>
      </c>
      <c r="G22" s="563">
        <v>0</v>
      </c>
      <c r="H22" s="32"/>
    </row>
    <row r="23" spans="1:13" ht="15.75" thickBot="1">
      <c r="A23" s="389"/>
      <c r="B23" s="485" t="s">
        <v>872</v>
      </c>
      <c r="C23" s="482"/>
      <c r="D23" s="482"/>
      <c r="E23" s="482"/>
      <c r="F23" s="494">
        <f>SUM(F20*G20+F21*G21+F22*G22)/G23</f>
        <v>3.4166666666666665E-2</v>
      </c>
      <c r="G23" s="484">
        <f>SUM(G20:G22)</f>
        <v>1</v>
      </c>
      <c r="H23" s="32"/>
    </row>
    <row r="24" spans="1:13">
      <c r="A24" s="389"/>
      <c r="B24" s="389" t="s">
        <v>876</v>
      </c>
      <c r="C24" s="389"/>
      <c r="D24" s="389"/>
      <c r="E24" s="389"/>
      <c r="F24" s="390"/>
      <c r="G24" s="389"/>
      <c r="H24" s="32"/>
    </row>
    <row r="26" spans="1:13" ht="15.75" thickBot="1">
      <c r="A26" s="175" t="s">
        <v>877</v>
      </c>
      <c r="B26" s="177"/>
      <c r="C26" s="177"/>
      <c r="D26" s="177"/>
      <c r="E26" s="177"/>
      <c r="F26" s="177"/>
      <c r="G26" s="177"/>
    </row>
    <row r="27" spans="1:13" ht="30">
      <c r="A27" s="177"/>
      <c r="B27" s="452"/>
      <c r="C27" s="453" t="s">
        <v>869</v>
      </c>
      <c r="D27" s="453" t="s">
        <v>852</v>
      </c>
      <c r="E27" s="453" t="s">
        <v>875</v>
      </c>
      <c r="F27" s="453" t="s">
        <v>871</v>
      </c>
      <c r="G27" s="454" t="s">
        <v>873</v>
      </c>
    </row>
    <row r="28" spans="1:13" ht="15.75" thickBot="1">
      <c r="A28" s="177"/>
      <c r="B28" s="455"/>
      <c r="C28" s="456"/>
      <c r="D28" s="457" t="s">
        <v>308</v>
      </c>
      <c r="E28" s="457" t="s">
        <v>65</v>
      </c>
      <c r="F28" s="457" t="s">
        <v>881</v>
      </c>
      <c r="G28" s="458"/>
    </row>
    <row r="29" spans="1:13">
      <c r="A29" s="177"/>
      <c r="B29" s="452" t="s">
        <v>337</v>
      </c>
      <c r="C29" s="564" t="s">
        <v>456</v>
      </c>
      <c r="D29" s="564">
        <v>60</v>
      </c>
      <c r="E29" s="564">
        <v>16</v>
      </c>
      <c r="F29" s="487">
        <f>+E29/D29</f>
        <v>0.26666666666666666</v>
      </c>
      <c r="G29" s="567">
        <v>1</v>
      </c>
    </row>
    <row r="30" spans="1:13">
      <c r="A30" s="177"/>
      <c r="B30" s="460" t="s">
        <v>338</v>
      </c>
      <c r="C30" s="565"/>
      <c r="D30" s="565">
        <v>1</v>
      </c>
      <c r="E30" s="565">
        <v>1</v>
      </c>
      <c r="F30" s="486">
        <f t="shared" ref="F30:F31" si="3">+E30/D30</f>
        <v>1</v>
      </c>
      <c r="G30" s="568">
        <v>0</v>
      </c>
    </row>
    <row r="31" spans="1:13" ht="15.75" thickBot="1">
      <c r="A31" s="177"/>
      <c r="B31" s="455" t="s">
        <v>339</v>
      </c>
      <c r="C31" s="566"/>
      <c r="D31" s="566">
        <v>1</v>
      </c>
      <c r="E31" s="566">
        <v>1</v>
      </c>
      <c r="F31" s="488">
        <f t="shared" si="3"/>
        <v>1</v>
      </c>
      <c r="G31" s="569">
        <v>0</v>
      </c>
    </row>
    <row r="32" spans="1:13" ht="15.75" thickBot="1">
      <c r="A32" s="177"/>
      <c r="B32" s="489" t="s">
        <v>878</v>
      </c>
      <c r="C32" s="490"/>
      <c r="D32" s="490"/>
      <c r="E32" s="490"/>
      <c r="F32" s="496">
        <f>SUM(F29*G29+F30*G30+F31*G31)/G32</f>
        <v>0.26666666666666666</v>
      </c>
      <c r="G32" s="491">
        <f>SUM(G29:G31)</f>
        <v>1</v>
      </c>
    </row>
    <row r="34" spans="1:10" ht="15.75" thickBot="1">
      <c r="A34" s="388" t="s">
        <v>882</v>
      </c>
      <c r="B34" s="389"/>
      <c r="C34" s="389"/>
      <c r="D34" s="389"/>
      <c r="E34" s="389"/>
      <c r="F34" s="389"/>
      <c r="G34" s="389"/>
      <c r="H34" s="389"/>
      <c r="I34" s="389"/>
      <c r="J34" s="389"/>
    </row>
    <row r="35" spans="1:10" ht="45">
      <c r="A35" s="389"/>
      <c r="B35" s="475"/>
      <c r="C35" s="476" t="s">
        <v>869</v>
      </c>
      <c r="D35" s="476" t="s">
        <v>852</v>
      </c>
      <c r="E35" s="476" t="s">
        <v>886</v>
      </c>
      <c r="F35" s="476" t="s">
        <v>883</v>
      </c>
      <c r="G35" s="476" t="s">
        <v>871</v>
      </c>
      <c r="H35" s="476" t="s">
        <v>884</v>
      </c>
      <c r="I35" s="476" t="s">
        <v>885</v>
      </c>
      <c r="J35" s="477" t="s">
        <v>873</v>
      </c>
    </row>
    <row r="36" spans="1:10" ht="18" thickBot="1">
      <c r="A36" s="389"/>
      <c r="B36" s="207"/>
      <c r="C36" s="478"/>
      <c r="D36" s="479" t="s">
        <v>319</v>
      </c>
      <c r="E36" s="479" t="s">
        <v>65</v>
      </c>
      <c r="F36" s="479" t="s">
        <v>533</v>
      </c>
      <c r="G36" s="479" t="s">
        <v>887</v>
      </c>
      <c r="H36" s="478"/>
      <c r="I36" s="478"/>
      <c r="J36" s="480"/>
    </row>
    <row r="37" spans="1:10">
      <c r="A37" s="389"/>
      <c r="B37" s="475" t="s">
        <v>337</v>
      </c>
      <c r="C37" s="558" t="s">
        <v>456</v>
      </c>
      <c r="D37" s="558">
        <v>950</v>
      </c>
      <c r="E37" s="558">
        <f>5.138*2+13-0.314*2</f>
        <v>22.648</v>
      </c>
      <c r="F37" s="558">
        <v>5.91</v>
      </c>
      <c r="G37" s="492">
        <f>+E37/F37</f>
        <v>3.8321489001692046</v>
      </c>
      <c r="H37" s="558">
        <f>2*(4*0.1+0.314)</f>
        <v>1.4279999999999999</v>
      </c>
      <c r="I37" s="558">
        <f>(5.8+0.94)/2</f>
        <v>3.37</v>
      </c>
      <c r="J37" s="561">
        <v>1</v>
      </c>
    </row>
    <row r="38" spans="1:10">
      <c r="A38" s="389"/>
      <c r="B38" s="202" t="s">
        <v>338</v>
      </c>
      <c r="C38" s="559"/>
      <c r="D38" s="559">
        <v>1</v>
      </c>
      <c r="E38" s="559">
        <v>1</v>
      </c>
      <c r="F38" s="559">
        <v>1</v>
      </c>
      <c r="G38" s="474">
        <f>+E38/D38</f>
        <v>1</v>
      </c>
      <c r="H38" s="559"/>
      <c r="I38" s="559"/>
      <c r="J38" s="562">
        <v>0</v>
      </c>
    </row>
    <row r="39" spans="1:10" ht="15.75" thickBot="1">
      <c r="A39" s="389"/>
      <c r="B39" s="207" t="s">
        <v>339</v>
      </c>
      <c r="C39" s="560"/>
      <c r="D39" s="560">
        <v>1</v>
      </c>
      <c r="E39" s="560">
        <v>1</v>
      </c>
      <c r="F39" s="560">
        <v>1</v>
      </c>
      <c r="G39" s="493">
        <f>+E39/D39</f>
        <v>1</v>
      </c>
      <c r="H39" s="560"/>
      <c r="I39" s="560"/>
      <c r="J39" s="563">
        <v>0</v>
      </c>
    </row>
    <row r="40" spans="1:10" ht="15.75" thickBot="1">
      <c r="A40" s="389"/>
      <c r="B40" s="481" t="s">
        <v>878</v>
      </c>
      <c r="C40" s="482"/>
      <c r="D40" s="482"/>
      <c r="E40" s="482"/>
      <c r="F40" s="482"/>
      <c r="G40" s="494">
        <f>+(G37*$J37+G38*$J38+G39*$J39)/$J40</f>
        <v>3.8321489001692046</v>
      </c>
      <c r="H40" s="483">
        <f>+(H37*$J37+H38*$J38+H39*$J39)/$J40</f>
        <v>1.4279999999999999</v>
      </c>
      <c r="I40" s="483">
        <f>+(I37*$J37+I38*$J38+I39*$J39)/$J40</f>
        <v>3.37</v>
      </c>
      <c r="J40" s="484">
        <f>SUM(J37:J39)</f>
        <v>1</v>
      </c>
    </row>
    <row r="41" spans="1:10">
      <c r="A41" s="389"/>
      <c r="B41" s="389"/>
      <c r="C41" s="389"/>
      <c r="D41" s="389"/>
      <c r="E41" s="389"/>
      <c r="F41" s="389"/>
      <c r="G41" s="390"/>
      <c r="H41" s="390"/>
      <c r="I41" s="390"/>
      <c r="J41" s="389"/>
    </row>
    <row r="42" spans="1:10">
      <c r="A42" s="389"/>
      <c r="B42" s="389" t="s">
        <v>888</v>
      </c>
      <c r="C42" s="389"/>
      <c r="D42" s="389"/>
      <c r="E42" s="389"/>
      <c r="F42" s="390"/>
      <c r="G42" s="389"/>
      <c r="H42" s="389"/>
      <c r="I42" s="389"/>
      <c r="J42" s="389"/>
    </row>
    <row r="43" spans="1:10">
      <c r="A43" s="389"/>
      <c r="B43" s="389" t="s">
        <v>889</v>
      </c>
      <c r="C43" s="389"/>
      <c r="D43" s="389"/>
      <c r="E43" s="389"/>
      <c r="F43" s="389"/>
      <c r="G43" s="389"/>
      <c r="H43" s="389"/>
      <c r="I43" s="389"/>
      <c r="J43" s="389"/>
    </row>
    <row r="44" spans="1:10">
      <c r="A44" s="388"/>
      <c r="B44" s="389" t="s">
        <v>890</v>
      </c>
      <c r="C44" s="389"/>
      <c r="D44" s="389"/>
      <c r="E44" s="389"/>
      <c r="F44" s="389"/>
      <c r="G44" s="389"/>
      <c r="H44" s="389"/>
      <c r="I44" s="389"/>
      <c r="J44" s="389"/>
    </row>
    <row r="47" spans="1:10">
      <c r="D47" s="88"/>
    </row>
  </sheetData>
  <sheetProtection password="CAF5" sheet="1" objects="1" scenarios="1"/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>
  <dimension ref="A1:O348"/>
  <sheetViews>
    <sheetView topLeftCell="A65" workbookViewId="0">
      <selection activeCell="M86" sqref="M86"/>
    </sheetView>
  </sheetViews>
  <sheetFormatPr defaultColWidth="8.85546875" defaultRowHeight="15"/>
  <cols>
    <col min="1" max="1" width="6" customWidth="1"/>
    <col min="2" max="2" width="5.140625" customWidth="1"/>
    <col min="3" max="3" width="12.42578125" bestFit="1" customWidth="1"/>
    <col min="4" max="4" width="9.42578125" customWidth="1"/>
    <col min="5" max="5" width="5.28515625" customWidth="1"/>
    <col min="6" max="6" width="9.42578125" customWidth="1"/>
    <col min="7" max="7" width="9" customWidth="1"/>
    <col min="8" max="8" width="6.42578125" customWidth="1"/>
    <col min="9" max="9" width="10.7109375" customWidth="1"/>
    <col min="10" max="10" width="6.28515625" customWidth="1"/>
    <col min="11" max="11" width="17.28515625" customWidth="1"/>
    <col min="12" max="12" width="15.28515625" customWidth="1"/>
    <col min="13" max="13" width="11.140625" customWidth="1"/>
    <col min="14" max="14" width="16.140625" customWidth="1"/>
    <col min="15" max="15" width="51.85546875" customWidth="1"/>
  </cols>
  <sheetData>
    <row r="1" spans="1:14">
      <c r="A1" s="5" t="s">
        <v>127</v>
      </c>
    </row>
    <row r="2" spans="1:14" ht="45">
      <c r="A2" s="5"/>
      <c r="F2" s="11" t="s">
        <v>24</v>
      </c>
      <c r="G2" s="11" t="s">
        <v>66</v>
      </c>
      <c r="H2" s="19" t="s">
        <v>146</v>
      </c>
      <c r="I2" s="19" t="s">
        <v>67</v>
      </c>
      <c r="J2" s="19"/>
      <c r="K2" s="19"/>
      <c r="L2" s="19"/>
      <c r="M2" s="19"/>
      <c r="N2" s="19"/>
    </row>
    <row r="3" spans="1:14">
      <c r="A3" s="5"/>
      <c r="B3" s="13" t="s">
        <v>79</v>
      </c>
      <c r="C3" s="13"/>
      <c r="D3" s="13" t="s">
        <v>78</v>
      </c>
      <c r="E3" s="14" t="s">
        <v>76</v>
      </c>
      <c r="F3" s="14" t="s">
        <v>77</v>
      </c>
      <c r="G3" s="14" t="s">
        <v>77</v>
      </c>
      <c r="H3" s="14" t="s">
        <v>77</v>
      </c>
      <c r="I3" s="14" t="s">
        <v>77</v>
      </c>
      <c r="J3" s="14"/>
      <c r="K3" s="14"/>
      <c r="L3" s="14"/>
      <c r="M3" s="14"/>
      <c r="N3" s="14"/>
    </row>
    <row r="4" spans="1:14">
      <c r="A4" s="5"/>
      <c r="C4" s="13"/>
      <c r="D4" s="13" t="s">
        <v>74</v>
      </c>
      <c r="E4" s="13" t="s">
        <v>75</v>
      </c>
      <c r="F4" s="13" t="s">
        <v>65</v>
      </c>
      <c r="G4" s="13" t="s">
        <v>65</v>
      </c>
      <c r="H4" s="13" t="s">
        <v>65</v>
      </c>
      <c r="I4" s="13" t="s">
        <v>65</v>
      </c>
      <c r="J4" s="13"/>
      <c r="K4" s="13"/>
      <c r="L4" s="13"/>
      <c r="M4" s="13"/>
      <c r="N4" s="13"/>
    </row>
    <row r="5" spans="1:14">
      <c r="A5" s="5"/>
      <c r="B5" s="5" t="s">
        <v>145</v>
      </c>
      <c r="C5" s="13"/>
      <c r="D5" s="13"/>
      <c r="E5" s="13"/>
      <c r="F5" s="13"/>
      <c r="G5" s="13"/>
      <c r="H5" s="13">
        <f>+Vu</f>
        <v>4</v>
      </c>
      <c r="I5" s="22">
        <f>+Fmp</f>
        <v>0</v>
      </c>
      <c r="J5" s="22"/>
      <c r="K5" s="147"/>
      <c r="L5" s="146"/>
      <c r="M5" s="22"/>
      <c r="N5" s="146"/>
    </row>
    <row r="6" spans="1:14">
      <c r="B6" s="5" t="s">
        <v>23</v>
      </c>
      <c r="L6" s="146"/>
    </row>
    <row r="7" spans="1:14">
      <c r="B7" t="s">
        <v>5</v>
      </c>
      <c r="C7" s="15"/>
      <c r="D7" s="15">
        <f ca="1">ABS(Da)*m/(SQRT(a_400*u)*Cd*R_400*AxP*SegDia)</f>
        <v>23.90202927280426</v>
      </c>
      <c r="E7" s="15">
        <f>SQRT(u)*(ABS(SQRT(2/a_400-2/(2*a_400+Da))-SQRT(1/(a_400)))+ABS(SQRT(2/(a_400+Da)-2/(2*a_400+Da))-SQRT(1/(a_400+Da))))</f>
        <v>2.4584928562909236</v>
      </c>
      <c r="F7" s="15">
        <f>m*(1-EXP(-E7/(g0*Isp)))</f>
        <v>0.63433383402750776</v>
      </c>
      <c r="G7" s="15">
        <f ca="1">+(365/D7)*F7</f>
        <v>9.686702613299758</v>
      </c>
      <c r="H7" s="15">
        <f ca="1">+G7*Vu</f>
        <v>38.746810453199032</v>
      </c>
      <c r="I7" s="15">
        <f ca="1">+(1+Fmp)*H7</f>
        <v>38.746810453199032</v>
      </c>
      <c r="J7" s="15"/>
      <c r="K7" s="15"/>
      <c r="L7" s="15"/>
      <c r="M7" s="15"/>
      <c r="N7" s="15"/>
    </row>
    <row r="8" spans="1:14">
      <c r="B8" t="s">
        <v>33</v>
      </c>
      <c r="C8" s="15"/>
      <c r="D8" s="15">
        <f ca="1">ABS(Da)*m/(SQRT(a_700*u)*Cd*R_700*AxP*SegDia)</f>
        <v>872.76168705427449</v>
      </c>
      <c r="E8" s="15">
        <f>SQRT(u)*(ABS(SQRT(2/a_700-2/(2*a_700+Da))-SQRT(1/(a_700)))+ABS(SQRT(2/(a_700+Da)-2/(2*a_700+Da))-SQRT(1/(a_700+Da))))</f>
        <v>2.303906670692665</v>
      </c>
      <c r="F8" s="15">
        <f>m*(1-EXP(-E8/(g0*Isp)))</f>
        <v>0.59446920701996764</v>
      </c>
      <c r="G8" s="15">
        <f ca="1">+(365/D8)*F8</f>
        <v>0.24861455742247168</v>
      </c>
      <c r="H8" s="15">
        <f ca="1">+G8*Vu</f>
        <v>0.99445822968988673</v>
      </c>
      <c r="I8" s="15">
        <f ca="1">+(1+Fmp)*H8</f>
        <v>0.99445822968988673</v>
      </c>
      <c r="J8" s="15"/>
      <c r="K8" s="15"/>
      <c r="L8" s="15"/>
      <c r="M8" s="15"/>
      <c r="N8" s="15"/>
    </row>
    <row r="9" spans="1:14">
      <c r="B9" t="s">
        <v>19</v>
      </c>
      <c r="C9" s="15"/>
      <c r="D9" s="15">
        <f ca="1">ABS(Da)*m/(SQRT(a_1500*u)*Cd*R_1500*AxP*SegDia)</f>
        <v>123858.31379297229</v>
      </c>
      <c r="E9" s="15">
        <f>SQRT(u)*(ABS(SQRT(2/a_1500-2/(2*a_1500+Da))-SQRT(1/(a_1500)))+ABS(SQRT(2/(a_1500+Da)-2/(2*a_1500+Da))-SQRT(1/(a_1500+Da))))</f>
        <v>1.9621326896393103</v>
      </c>
      <c r="F9" s="15">
        <f>m*(1-EXP(-E9/(g0*Isp)))</f>
        <v>0.50632252326756289</v>
      </c>
      <c r="G9" s="15">
        <f ca="1">+(365/D9)*F9</f>
        <v>1.4920897542781374E-3</v>
      </c>
      <c r="H9" s="15">
        <f ca="1">+G9*Vu</f>
        <v>5.9683590171125496E-3</v>
      </c>
      <c r="I9" s="15">
        <f ca="1">+(1+Fmp)*H9</f>
        <v>5.9683590171125496E-3</v>
      </c>
      <c r="J9" s="15"/>
      <c r="K9" s="15"/>
      <c r="L9" s="15"/>
      <c r="M9" s="15"/>
      <c r="N9" s="15"/>
    </row>
    <row r="11" spans="1:14">
      <c r="B11" s="5" t="s">
        <v>30</v>
      </c>
    </row>
    <row r="12" spans="1:14">
      <c r="B12" t="s">
        <v>5</v>
      </c>
      <c r="C12" s="15"/>
      <c r="D12" s="15">
        <f ca="1">ABS(Da)*m/(SQRT(a_400*u)*Cd*R_400*(AxP+2*(Aps_y)/PI())*SegDia)</f>
        <v>7.4183896978298787</v>
      </c>
      <c r="E12" s="15">
        <f>SQRT(u)*(ABS(SQRT(2/a_400-2/(2*a_400+Da))-SQRT(1/(a_400)))+ABS(SQRT(2/(a_400+Da)-2/(2*a_400+Da))-SQRT(1/(a_400+Da))))</f>
        <v>2.4584928562909236</v>
      </c>
      <c r="F12" s="15">
        <f>m*(1-EXP(-E12/(g0*Isp)))</f>
        <v>0.63433383402750776</v>
      </c>
      <c r="G12" s="15">
        <f ca="1">+(365/D12)*F12</f>
        <v>31.210526657526625</v>
      </c>
      <c r="H12" s="15">
        <f ca="1">+G12*Vu</f>
        <v>124.8421066301065</v>
      </c>
      <c r="I12" s="15">
        <f ca="1">+(1+Fmp)*H12</f>
        <v>124.8421066301065</v>
      </c>
      <c r="J12" s="15"/>
      <c r="K12" s="15"/>
      <c r="L12" s="15"/>
      <c r="M12" s="15"/>
      <c r="N12" s="15"/>
    </row>
    <row r="13" spans="1:14">
      <c r="B13" t="s">
        <v>33</v>
      </c>
      <c r="C13" s="15"/>
      <c r="D13" s="15">
        <f ca="1">ABS(Da)*m/(SQRT(a_700*u)*Cd*R_700*(AxP+2*(Aps_y)/PI())*SegDia)</f>
        <v>270.87600948053097</v>
      </c>
      <c r="E13" s="15">
        <f>SQRT(u)*(ABS(SQRT(2/a_700-2/(2*a_700+Da))-SQRT(1/(a_700)))+ABS(SQRT(2/(a_700+Da)-2/(2*a_700+Da))-SQRT(1/(a_700+Da))))</f>
        <v>2.303906670692665</v>
      </c>
      <c r="F13" s="15">
        <f>m*(1-EXP(-E13/(g0*Isp)))</f>
        <v>0.59446920701996764</v>
      </c>
      <c r="G13" s="15">
        <f ca="1">+(365/D13)*F13</f>
        <v>0.80103535554293359</v>
      </c>
      <c r="H13" s="15">
        <f ca="1">+G13*Vu</f>
        <v>3.2041414221717344</v>
      </c>
      <c r="I13" s="15">
        <f ca="1">+(1+Fmp)*H13</f>
        <v>3.2041414221717344</v>
      </c>
      <c r="J13" s="15"/>
      <c r="K13" s="15"/>
      <c r="L13" s="15"/>
      <c r="M13" s="15"/>
      <c r="N13" s="15"/>
    </row>
    <row r="14" spans="1:14">
      <c r="B14" t="s">
        <v>19</v>
      </c>
      <c r="C14" s="15"/>
      <c r="D14" s="15">
        <f ca="1">ABS(Da)*m/(SQRT(a_1500*u)*Cd*R_1500*(AxP+2*(Aps_y)/PI())*SegDia)</f>
        <v>38441.474091817399</v>
      </c>
      <c r="E14" s="15">
        <f>SQRT(u)*(ABS(SQRT(2/a_1500-2/(2*a_1500+Da))-SQRT(1/(a_1500)))+ABS(SQRT(2/(a_1500+Da)-2/(2*a_1500+Da))-SQRT(1/(a_1500+Da))))</f>
        <v>1.9621326896393103</v>
      </c>
      <c r="F14" s="15">
        <f>m*(1-EXP(-E14/(g0*Isp)))</f>
        <v>0.50632252326756289</v>
      </c>
      <c r="G14" s="15">
        <f ca="1">+(365/D14)*F14</f>
        <v>4.8075086962390545E-3</v>
      </c>
      <c r="H14" s="15">
        <f ca="1">+G14*Vu</f>
        <v>1.9230034784956218E-2</v>
      </c>
      <c r="I14" s="15">
        <f ca="1">+(1+Fmp)*H14</f>
        <v>1.9230034784956218E-2</v>
      </c>
      <c r="J14" s="15"/>
      <c r="K14" s="15"/>
      <c r="L14" s="15"/>
      <c r="M14" s="15"/>
      <c r="N14" s="15"/>
    </row>
    <row r="16" spans="1:14">
      <c r="B16" s="5" t="s">
        <v>31</v>
      </c>
    </row>
    <row r="17" spans="1:15">
      <c r="B17" t="s">
        <v>5</v>
      </c>
      <c r="C17" s="15"/>
      <c r="D17" s="15">
        <f ca="1">ABS(Da)*m/(SQRT(a_400*u)*Cd*R_400*(AxP+2*(Aps_y+APS_my)/PI())*SegDia)</f>
        <v>4.3905319083096543</v>
      </c>
      <c r="E17" s="15">
        <f>SQRT(u)*(ABS(SQRT(2/a_400-2/(2*a_400+Da))-SQRT(1/(a_400)))+ABS(SQRT(2/(a_400+Da)-2/(2*a_400+Da))-SQRT(1/(a_400+Da))))</f>
        <v>2.4584928562909236</v>
      </c>
      <c r="F17" s="15">
        <f>m*(1-EXP(-E17/(g0*Isp)))</f>
        <v>0.63433383402750776</v>
      </c>
      <c r="G17" s="15">
        <f ca="1">+(365/D17)*F17</f>
        <v>52.734350701753499</v>
      </c>
      <c r="H17" s="15">
        <f ca="1">+G17*Vu</f>
        <v>210.937402807014</v>
      </c>
      <c r="I17" s="15">
        <f ca="1">+(1+Fmp)*H17</f>
        <v>210.937402807014</v>
      </c>
      <c r="J17" s="15"/>
      <c r="K17" s="15"/>
      <c r="L17" s="15"/>
      <c r="M17" s="15"/>
      <c r="N17" s="15"/>
    </row>
    <row r="18" spans="1:15">
      <c r="B18" t="s">
        <v>33</v>
      </c>
      <c r="C18" s="15"/>
      <c r="D18" s="15">
        <f ca="1">ABS(Da)*m/(SQRT(a_700*u)*Cd*R_700*(AxP+2*(Aps_y+APS_my)/PI())*SegDia)</f>
        <v>160.31643136350272</v>
      </c>
      <c r="E18" s="15">
        <f>SQRT(u)*(ABS(SQRT(2/a_700-2/(2*a_700+Da))-SQRT(1/(a_700)))+ABS(SQRT(2/(a_700+Da)-2/(2*a_700+Da))-SQRT(1/(a_700+Da))))</f>
        <v>2.303906670692665</v>
      </c>
      <c r="F18" s="15">
        <f>m*(1-EXP(-E18/(g0*Isp)))</f>
        <v>0.59446920701996764</v>
      </c>
      <c r="G18" s="15">
        <f ca="1">+(365/D18)*F18</f>
        <v>1.3534561536633958</v>
      </c>
      <c r="H18" s="15">
        <f ca="1">+G18*Vu</f>
        <v>5.4138246146535831</v>
      </c>
      <c r="I18" s="15">
        <f ca="1">+(1+Fmp)*H18</f>
        <v>5.4138246146535831</v>
      </c>
      <c r="J18" s="15"/>
      <c r="K18" s="15"/>
      <c r="L18" s="15"/>
      <c r="M18" s="15"/>
      <c r="N18" s="15"/>
    </row>
    <row r="19" spans="1:15">
      <c r="B19" t="s">
        <v>19</v>
      </c>
      <c r="C19" s="15"/>
      <c r="D19" s="15">
        <f ca="1">ABS(Da)*m/(SQRT(a_1500*u)*Cd*R_1500*(AxP+2*(Aps_y+APS_my)/PI())*SegDia)</f>
        <v>22751.368622756017</v>
      </c>
      <c r="E19" s="15">
        <f>SQRT(u)*(ABS(SQRT(2/a_1500-2/(2*a_1500+Da))-SQRT(1/(a_1500)))+ABS(SQRT(2/(a_1500+Da)-2/(2*a_1500+Da))-SQRT(1/(a_1500+Da))))</f>
        <v>1.9621326896393103</v>
      </c>
      <c r="F19" s="15">
        <f>m*(1-EXP(-E19/(g0*Isp)))</f>
        <v>0.50632252326756289</v>
      </c>
      <c r="G19" s="15">
        <f ca="1">+(365/D19)*F19</f>
        <v>8.1229276381999706E-3</v>
      </c>
      <c r="H19" s="15">
        <f ca="1">+G19*Vu</f>
        <v>3.2491710552799882E-2</v>
      </c>
      <c r="I19" s="15">
        <f ca="1">+(1+Fmp)*H19</f>
        <v>3.2491710552799882E-2</v>
      </c>
      <c r="J19" s="15"/>
      <c r="K19" s="15"/>
      <c r="L19" s="15"/>
      <c r="M19" s="15"/>
      <c r="N19" s="15"/>
    </row>
    <row r="20" spans="1:15">
      <c r="A20" s="5" t="s">
        <v>147</v>
      </c>
      <c r="F20" s="9"/>
      <c r="G20" s="9"/>
      <c r="H20" s="9"/>
      <c r="I20" s="8"/>
      <c r="J20" s="8"/>
      <c r="K20" s="8"/>
      <c r="L20" s="8"/>
      <c r="M20" s="8"/>
      <c r="N20" s="8"/>
    </row>
    <row r="21" spans="1:15" ht="45">
      <c r="F21" s="11" t="s">
        <v>24</v>
      </c>
      <c r="G21" s="11" t="s">
        <v>66</v>
      </c>
      <c r="H21" s="19" t="s">
        <v>146</v>
      </c>
      <c r="I21" s="12" t="s">
        <v>67</v>
      </c>
      <c r="J21" s="19"/>
      <c r="K21" s="19"/>
      <c r="L21" s="19"/>
      <c r="M21" s="12"/>
      <c r="N21" s="12"/>
      <c r="O21" s="24"/>
    </row>
    <row r="22" spans="1:15">
      <c r="B22" s="13" t="s">
        <v>79</v>
      </c>
      <c r="C22" s="13"/>
      <c r="D22" s="13" t="s">
        <v>78</v>
      </c>
      <c r="E22" s="14" t="s">
        <v>76</v>
      </c>
      <c r="F22" s="14" t="s">
        <v>77</v>
      </c>
      <c r="G22" s="14" t="s">
        <v>77</v>
      </c>
      <c r="H22" s="14" t="s">
        <v>77</v>
      </c>
      <c r="I22" s="14" t="s">
        <v>77</v>
      </c>
      <c r="J22" s="14"/>
      <c r="K22" s="14"/>
      <c r="L22" s="14"/>
      <c r="M22" s="14"/>
      <c r="N22" s="14"/>
      <c r="O22" s="27"/>
    </row>
    <row r="23" spans="1:15">
      <c r="C23" s="13"/>
      <c r="D23" s="13" t="s">
        <v>74</v>
      </c>
      <c r="E23" s="13" t="s">
        <v>75</v>
      </c>
      <c r="F23" s="13" t="s">
        <v>65</v>
      </c>
      <c r="G23" s="13" t="s">
        <v>65</v>
      </c>
      <c r="H23" s="13" t="s">
        <v>65</v>
      </c>
      <c r="I23" s="13" t="s">
        <v>65</v>
      </c>
      <c r="J23" s="13"/>
      <c r="K23" s="13"/>
      <c r="L23" s="13"/>
      <c r="M23" s="13"/>
      <c r="N23" s="13"/>
      <c r="O23" s="25"/>
    </row>
    <row r="24" spans="1:15">
      <c r="B24" s="5" t="s">
        <v>173</v>
      </c>
      <c r="C24" s="13"/>
      <c r="D24" s="13">
        <f>Da</f>
        <v>4348.1520999607183</v>
      </c>
      <c r="E24" s="13"/>
      <c r="F24" s="13"/>
      <c r="G24" s="13"/>
      <c r="H24" s="13">
        <f>+Vu</f>
        <v>4</v>
      </c>
      <c r="I24" s="22">
        <f>+Fmp</f>
        <v>0</v>
      </c>
      <c r="J24" s="22"/>
      <c r="K24" s="22"/>
      <c r="L24" s="22"/>
      <c r="M24" s="22"/>
      <c r="N24" s="22"/>
    </row>
    <row r="25" spans="1:15">
      <c r="B25" s="5" t="s">
        <v>32</v>
      </c>
    </row>
    <row r="26" spans="1:15">
      <c r="B26" t="s">
        <v>23</v>
      </c>
    </row>
    <row r="27" spans="1:15">
      <c r="B27" t="s">
        <v>33</v>
      </c>
      <c r="C27" s="15"/>
      <c r="D27" s="15">
        <f ca="1">ABS(Da)*m/(SQRT(a_700*u)*Cd*R_700*(Asx*Aax_I0700+Asy*Aay_I0700+Asz*Aaz_I0700)*SegDia)</f>
        <v>337.35220975433646</v>
      </c>
      <c r="E27" s="15">
        <f>SQRT(u)*(ABS(SQRT(2/a_700-2/(2*a_700+Da))-SQRT(1/(a_700)))+ABS(SQRT(2/(a_700+Da)-2/(2*a_700+Da))-SQRT(1/(a_700+Da))))</f>
        <v>2.303906670692665</v>
      </c>
      <c r="F27" s="15">
        <f>m*(1-EXP(-E27/(g0*Isp)))</f>
        <v>0.59446920701996764</v>
      </c>
      <c r="G27" s="15">
        <f ca="1">+(365/D27)*F27</f>
        <v>0.64318908929126706</v>
      </c>
      <c r="H27" s="15">
        <f ca="1">+G27*Vu</f>
        <v>2.5727563571650682</v>
      </c>
      <c r="I27" s="15">
        <f ca="1">+(1+Fmp)*H27</f>
        <v>2.5727563571650682</v>
      </c>
      <c r="J27" s="15"/>
      <c r="K27" s="15"/>
      <c r="L27" s="15"/>
      <c r="M27" s="15"/>
      <c r="N27" s="15"/>
    </row>
    <row r="28" spans="1:15">
      <c r="B28" t="s">
        <v>19</v>
      </c>
      <c r="C28" s="15"/>
      <c r="D28" s="15">
        <f ca="1">ABS(Da)*m/(SQRT(a_1500*u)*Cd*R_1500*(Asx*Aax_I01500+Asy*Aay_I01500+Asz*Aaz_I01500)*SegDia)</f>
        <v>47874.537010512999</v>
      </c>
      <c r="E28" s="15">
        <f>SQRT(u)*(ABS(SQRT(2/a_1500-2/(2*a_1500+Da))-SQRT(1/(a_1500)))+ABS(SQRT(2/(a_1500+Da)-2/(2*a_1500+Da))-SQRT(1/(a_1500+Da))))</f>
        <v>1.9621326896393103</v>
      </c>
      <c r="F28" s="15">
        <f>m*(1-EXP(-E28/(g0*Isp)))</f>
        <v>0.50632252326756289</v>
      </c>
      <c r="G28" s="15">
        <f ca="1">+(365/D28)*F28</f>
        <v>3.8602508250278771E-3</v>
      </c>
      <c r="H28" s="15">
        <f ca="1">+G28*Vu</f>
        <v>1.5441003300111509E-2</v>
      </c>
      <c r="I28" s="15">
        <f ca="1">+(1+Fmp)*H28</f>
        <v>1.5441003300111509E-2</v>
      </c>
      <c r="J28" s="15"/>
      <c r="K28" s="15"/>
      <c r="L28" s="15"/>
      <c r="M28" s="15"/>
      <c r="N28" s="15"/>
    </row>
    <row r="30" spans="1:15">
      <c r="B30" t="s">
        <v>30</v>
      </c>
      <c r="J30" s="15"/>
      <c r="K30" s="15"/>
      <c r="L30" s="15"/>
      <c r="M30" s="15"/>
      <c r="N30" s="15"/>
    </row>
    <row r="31" spans="1:15">
      <c r="B31" t="s">
        <v>33</v>
      </c>
      <c r="C31" s="15"/>
      <c r="D31" s="15">
        <f ca="1">ABS(Da)*m/(SQRT(a_700*u)*Cd*R_700*((Asx+Aps_y)*Aax_I0700+Asy*Aay_I0700+Asz*Aaz_I0700)*SegDia)</f>
        <v>184.95433173226562</v>
      </c>
      <c r="E31" s="15">
        <f>SQRT(u)*(ABS(SQRT(2/a_700-2/(2*a_700+Da))-SQRT(1/(a_700)))+ABS(SQRT(2/(a_700+Da)-2/(2*a_700+Da))-SQRT(1/(a_700+Da))))</f>
        <v>2.303906670692665</v>
      </c>
      <c r="F31" s="15">
        <f>m*(1-EXP(-E31/(g0*Isp)))</f>
        <v>0.59446920701996764</v>
      </c>
      <c r="G31" s="15">
        <f ca="1">+(365/D31)*F31</f>
        <v>1.1731612800309201</v>
      </c>
      <c r="H31" s="15">
        <f ca="1">+G31*Vu</f>
        <v>4.6926451201236805</v>
      </c>
      <c r="I31" s="15">
        <f ca="1">+(1+Fmp)*H31</f>
        <v>4.6926451201236805</v>
      </c>
      <c r="J31" s="15"/>
      <c r="K31" s="15"/>
      <c r="L31" s="15"/>
      <c r="M31" s="15"/>
      <c r="N31" s="15"/>
    </row>
    <row r="32" spans="1:15">
      <c r="B32" t="s">
        <v>19</v>
      </c>
      <c r="C32" s="15"/>
      <c r="D32" s="15">
        <f ca="1">ABS(Da)*m/(SQRT(a_1500*u)*Cd*R_1500*((Asx+Aps_y)*Aax_I01500+Asy*Aay_I01500+Asz*Aaz_I01500)*SegDia)</f>
        <v>26246.606773381231</v>
      </c>
      <c r="E32" s="15">
        <f>SQRT(u)*(ABS(SQRT(2/a_1500-2/(2*a_1500+Da))-SQRT(1/(a_1500)))+ABS(SQRT(2/(a_1500+Da)-2/(2*a_1500+Da))-SQRT(1/(a_1500+Da))))</f>
        <v>1.9621326896393103</v>
      </c>
      <c r="F32" s="15">
        <f>m*(1-EXP(-E32/(g0*Isp)))</f>
        <v>0.50632252326756289</v>
      </c>
      <c r="G32" s="15">
        <f ca="1">+(365/D32)*F32</f>
        <v>7.0412043197937745E-3</v>
      </c>
      <c r="H32" s="15">
        <f ca="1">+G32*Vu</f>
        <v>2.8164817279175098E-2</v>
      </c>
      <c r="I32" s="15">
        <f ca="1">+(1+Fmp)*H32</f>
        <v>2.8164817279175098E-2</v>
      </c>
      <c r="J32" s="15"/>
      <c r="K32" s="15"/>
      <c r="L32" s="15"/>
      <c r="M32" s="15"/>
      <c r="N32" s="15"/>
    </row>
    <row r="34" spans="2:14">
      <c r="B34" t="s">
        <v>31</v>
      </c>
    </row>
    <row r="35" spans="2:14">
      <c r="B35" t="s">
        <v>33</v>
      </c>
      <c r="C35" s="15"/>
      <c r="D35" s="15">
        <f ca="1">ABS(Da)*m/(SQRT(a_700*u)*Cd*R_700*((Asx+Aps_y+APS_my)*Aax_I0700+Asy*Aay_I0700+Asz*Aaz_I0700)*SegDia)</f>
        <v>127.40120741336625</v>
      </c>
      <c r="E35" s="15">
        <f>SQRT(u)*(ABS(SQRT(2/a_700-2/(2*a_700+Da))-SQRT(1/(a_700)))+ABS(SQRT(2/(a_700+Da)-2/(2*a_700+Da))-SQRT(1/(a_700+Da))))</f>
        <v>2.303906670692665</v>
      </c>
      <c r="F35" s="15">
        <f>m*(1-EXP(-E35/(g0*Isp)))</f>
        <v>0.59446920701996764</v>
      </c>
      <c r="G35" s="15">
        <f ca="1">+(365/D35)*F35</f>
        <v>1.7031334707705734</v>
      </c>
      <c r="H35" s="15">
        <f ca="1">+G35*Vu</f>
        <v>6.8125338830822937</v>
      </c>
      <c r="I35" s="15">
        <f ca="1">+(1+Fmp)*H35</f>
        <v>6.8125338830822937</v>
      </c>
      <c r="J35" s="15"/>
      <c r="K35" s="15"/>
      <c r="L35" s="15"/>
      <c r="M35" s="15"/>
      <c r="N35" s="15"/>
    </row>
    <row r="36" spans="2:14">
      <c r="B36" t="s">
        <v>19</v>
      </c>
      <c r="C36" s="15"/>
      <c r="D36" s="15">
        <f ca="1">ABS(Da)*m/(SQRT(a_1500*u)*Cd*R_1500*((Asx+Aps_y+APS_my)*Aax_I01500+Asy*Aay_I01500+Asz*Aaz_I01500)*SegDia)</f>
        <v>18079.130096136287</v>
      </c>
      <c r="E36" s="15">
        <f>SQRT(u)*(ABS(SQRT(2/a_1500-2/(2*a_1500+Da))-SQRT(1/(a_1500)))+ABS(SQRT(2/(a_1500+Da)-2/(2*a_1500+Da))-SQRT(1/(a_1500+Da))))</f>
        <v>1.9621326896393103</v>
      </c>
      <c r="F36" s="15">
        <f>m*(1-EXP(-E36/(g0*Isp)))</f>
        <v>0.50632252326756289</v>
      </c>
      <c r="G36" s="15">
        <f ca="1">+(365/D36)*F36</f>
        <v>1.0222157814559669E-2</v>
      </c>
      <c r="H36" s="15">
        <f ca="1">+G36*Vu</f>
        <v>4.0888631258238675E-2</v>
      </c>
      <c r="I36" s="15">
        <f ca="1">+(1+Fmp)*H36</f>
        <v>4.0888631258238675E-2</v>
      </c>
      <c r="J36" s="15"/>
      <c r="K36" s="15"/>
      <c r="L36" s="15"/>
      <c r="M36" s="15"/>
      <c r="N36" s="15"/>
    </row>
    <row r="38" spans="2:14">
      <c r="B38" s="5" t="s">
        <v>50</v>
      </c>
    </row>
    <row r="39" spans="2:14">
      <c r="B39" t="s">
        <v>23</v>
      </c>
    </row>
    <row r="40" spans="2:14">
      <c r="B40" t="s">
        <v>33</v>
      </c>
      <c r="C40" s="15"/>
      <c r="D40" s="15">
        <f ca="1">ABS(Da)*m/(SQRT(a_700*u)*Cd*R_700*(Asx*Aax_I12700+Asy*Aay_I12700+Asz*Aaz_I12700)*SegDia)</f>
        <v>335.47472295068047</v>
      </c>
      <c r="E40" s="15">
        <f>SQRT(u)*(ABS(SQRT(2/a_700-2/(2*a_700+Da))-SQRT(1/(a_700)))+ABS(SQRT(2/(a_700+Da)-2/(2*a_700+Da))-SQRT(1/(a_700+Da))))</f>
        <v>2.303906670692665</v>
      </c>
      <c r="F40" s="15">
        <f>m*(1-EXP(-E40/(g0*Isp)))</f>
        <v>0.59446920701996764</v>
      </c>
      <c r="G40" s="15">
        <f ca="1">+(365/D40)*F40</f>
        <v>0.64678870185455828</v>
      </c>
      <c r="H40" s="15">
        <f ca="1">+G40*Vu</f>
        <v>2.5871548074182331</v>
      </c>
      <c r="I40" s="15">
        <f ca="1">+(1+Fmp)*H40</f>
        <v>2.5871548074182331</v>
      </c>
      <c r="J40" s="15"/>
      <c r="K40" s="15"/>
      <c r="L40" s="15"/>
      <c r="M40" s="15"/>
      <c r="N40" s="15"/>
    </row>
    <row r="41" spans="2:14">
      <c r="B41" t="s">
        <v>19</v>
      </c>
      <c r="C41" s="15"/>
      <c r="D41" s="15">
        <f ca="1">ABS(Da)*m/(SQRT(a_1500*u)*Cd*R_1500*(Asx*Aax_I121500+Asy*Aay_I121500+Asz*Aaz_I121500)*SegDia)</f>
        <v>48927.234502773936</v>
      </c>
      <c r="E41" s="15">
        <f>SQRT(u)*(ABS(SQRT(2/a_1500-2/(2*a_1500+Da))-SQRT(1/(a_1500)))+ABS(SQRT(2/(a_1500+Da)-2/(2*a_1500+Da))-SQRT(1/(a_1500+Da))))</f>
        <v>1.9621326896393103</v>
      </c>
      <c r="F41" s="15">
        <f>m*(1-EXP(-E41/(g0*Isp)))</f>
        <v>0.50632252326756289</v>
      </c>
      <c r="G41" s="15">
        <f ca="1">+(365/D41)*F41</f>
        <v>3.7771953160807151E-3</v>
      </c>
      <c r="H41" s="15">
        <f ca="1">+G41*Vu</f>
        <v>1.510878126432286E-2</v>
      </c>
      <c r="I41" s="15">
        <f ca="1">+(1+Fmp)*H41</f>
        <v>1.510878126432286E-2</v>
      </c>
      <c r="J41" s="15"/>
      <c r="K41" s="15"/>
      <c r="L41" s="15"/>
      <c r="M41" s="15"/>
      <c r="N41" s="15"/>
    </row>
    <row r="43" spans="2:14">
      <c r="B43" t="s">
        <v>30</v>
      </c>
    </row>
    <row r="44" spans="2:14">
      <c r="B44" t="s">
        <v>33</v>
      </c>
      <c r="C44" s="15"/>
      <c r="D44" s="15">
        <f ca="1">ABS(Da)*m/(SQRT(a_700*u)*Cd*R_700*((Asx+Aps_y)*Aax_I12700+Asy*Aay_I12700+Asz*Aaz_I12700)*SegDia)</f>
        <v>185.26552375199219</v>
      </c>
      <c r="E44" s="15">
        <f>SQRT(u)*(ABS(SQRT(2/a_700-2/(2*a_700+Da))-SQRT(1/(a_700)))+ABS(SQRT(2/(a_700+Da)-2/(2*a_700+Da))-SQRT(1/(a_700+Da))))</f>
        <v>2.303906670692665</v>
      </c>
      <c r="F44" s="15">
        <f>m*(1-EXP(-E44/(g0*Isp)))</f>
        <v>0.59446920701996764</v>
      </c>
      <c r="G44" s="15">
        <f ca="1">+(365/D44)*F44</f>
        <v>1.1711907114070108</v>
      </c>
      <c r="H44" s="15">
        <f ca="1">+G44*Vu</f>
        <v>4.6847628456280432</v>
      </c>
      <c r="I44" s="15">
        <f ca="1">+(1+Fmp)*H44</f>
        <v>4.6847628456280432</v>
      </c>
      <c r="J44" s="15"/>
      <c r="K44" s="15"/>
      <c r="L44" s="15"/>
      <c r="M44" s="15"/>
      <c r="N44" s="15"/>
    </row>
    <row r="45" spans="2:14">
      <c r="B45" t="s">
        <v>19</v>
      </c>
      <c r="C45" s="15"/>
      <c r="D45" s="15">
        <f ca="1">ABS(Da)*m/(SQRT(a_1500*u)*Cd*R_1500*((Asx+Aps_y)*Aax_I121500+Asy*Aay_I121500+Asz*Aaz_I121500)*SegDia)</f>
        <v>26719.335211247278</v>
      </c>
      <c r="E45" s="15">
        <f>SQRT(u)*(ABS(SQRT(2/a_1500-2/(2*a_1500+Da))-SQRT(1/(a_1500)))+ABS(SQRT(2/(a_1500+Da)-2/(2*a_1500+Da))-SQRT(1/(a_1500+Da))))</f>
        <v>1.9621326896393103</v>
      </c>
      <c r="F45" s="15">
        <f>m*(1-EXP(-E45/(g0*Isp)))</f>
        <v>0.50632252326756289</v>
      </c>
      <c r="G45" s="15">
        <f ca="1">+(365/D45)*F45</f>
        <v>6.9166287084443329E-3</v>
      </c>
      <c r="H45" s="15">
        <f ca="1">+G45*Vu</f>
        <v>2.7666514833777332E-2</v>
      </c>
      <c r="I45" s="15">
        <f ca="1">+(1+Fmp)*H45</f>
        <v>2.7666514833777332E-2</v>
      </c>
      <c r="J45" s="15"/>
      <c r="K45" s="15"/>
      <c r="L45" s="15"/>
      <c r="M45" s="15"/>
      <c r="N45" s="15"/>
    </row>
    <row r="47" spans="2:14">
      <c r="B47" t="s">
        <v>31</v>
      </c>
    </row>
    <row r="48" spans="2:14">
      <c r="B48" t="s">
        <v>33</v>
      </c>
      <c r="C48" s="15"/>
      <c r="D48" s="15">
        <f ca="1">ABS(Da)*m/(SQRT(a_700*u)*Cd*R_700*((Asx+Aps_y+APS_my)*Aax_I12700+Asy*Aay_I12700+Asz*Aaz_I12700)*SegDia)</f>
        <v>127.96779431767538</v>
      </c>
      <c r="E48" s="15">
        <f>SQRT(u)*(ABS(SQRT(2/a_700-2/(2*a_700+Da))-SQRT(1/(a_700)))+ABS(SQRT(2/(a_700+Da)-2/(2*a_700+Da))-SQRT(1/(a_700+Da))))</f>
        <v>2.303906670692665</v>
      </c>
      <c r="F48" s="15">
        <f>m*(1-EXP(-E48/(g0*Isp)))</f>
        <v>0.59446920701996764</v>
      </c>
      <c r="G48" s="15">
        <f ca="1">+(365/D48)*F48</f>
        <v>1.6955927209594635</v>
      </c>
      <c r="H48" s="15">
        <f ca="1">+G48*Vu</f>
        <v>6.7823708838378538</v>
      </c>
      <c r="I48" s="15">
        <f ca="1">+(1+Fmp)*H48</f>
        <v>6.7823708838378538</v>
      </c>
      <c r="J48" s="15"/>
      <c r="K48" s="15"/>
      <c r="L48" s="15"/>
      <c r="M48" s="15"/>
      <c r="N48" s="15"/>
    </row>
    <row r="49" spans="2:14">
      <c r="B49" t="s">
        <v>19</v>
      </c>
      <c r="C49" s="15"/>
      <c r="D49" s="15">
        <f ca="1">ABS(Da)*m/(SQRT(a_1500*u)*Cd*R_1500*((Asx+Aps_y+APS_my)*Aax_I121500+Asy*Aay_I121500+Asz*Aaz_I121500)*SegDia)</f>
        <v>18377.742613364742</v>
      </c>
      <c r="E49" s="15">
        <f>SQRT(u)*(ABS(SQRT(2/a_1500-2/(2*a_1500+Da))-SQRT(1/(a_1500)))+ABS(SQRT(2/(a_1500+Da)-2/(2*a_1500+Da))-SQRT(1/(a_1500+Da))))</f>
        <v>1.9621326896393103</v>
      </c>
      <c r="F49" s="15">
        <f>m*(1-EXP(-E49/(g0*Isp)))</f>
        <v>0.50632252326756289</v>
      </c>
      <c r="G49" s="15">
        <f ca="1">+(365/D49)*F49</f>
        <v>1.0056062100807952E-2</v>
      </c>
      <c r="H49" s="15">
        <f ca="1">+G49*Vu</f>
        <v>4.0224248403231806E-2</v>
      </c>
      <c r="I49" s="15">
        <f ca="1">+(1+Fmp)*H49</f>
        <v>4.0224248403231806E-2</v>
      </c>
      <c r="J49" s="15"/>
      <c r="K49" s="15"/>
      <c r="L49" s="15"/>
      <c r="M49" s="15"/>
      <c r="N49" s="15"/>
    </row>
    <row r="50" spans="2:14" ht="45">
      <c r="F50" s="11" t="s">
        <v>24</v>
      </c>
      <c r="G50" s="11" t="s">
        <v>66</v>
      </c>
      <c r="H50" s="19" t="s">
        <v>146</v>
      </c>
      <c r="I50" s="12" t="s">
        <v>67</v>
      </c>
      <c r="J50" s="19"/>
      <c r="K50" s="12"/>
      <c r="L50" s="12"/>
      <c r="M50" s="12"/>
      <c r="N50" s="12"/>
    </row>
    <row r="51" spans="2:14">
      <c r="B51" s="13" t="s">
        <v>79</v>
      </c>
      <c r="C51" s="13"/>
      <c r="D51" s="13" t="s">
        <v>78</v>
      </c>
      <c r="E51" s="14" t="s">
        <v>76</v>
      </c>
      <c r="F51" s="14" t="s">
        <v>77</v>
      </c>
      <c r="G51" s="14" t="s">
        <v>77</v>
      </c>
      <c r="H51" s="14" t="s">
        <v>77</v>
      </c>
      <c r="I51" s="14" t="s">
        <v>77</v>
      </c>
      <c r="J51" s="14"/>
      <c r="K51" s="14"/>
      <c r="L51" s="14"/>
      <c r="M51" s="14"/>
      <c r="N51" s="14"/>
    </row>
    <row r="52" spans="2:14">
      <c r="C52" s="13"/>
      <c r="D52" s="13" t="s">
        <v>74</v>
      </c>
      <c r="E52" s="13" t="s">
        <v>75</v>
      </c>
      <c r="F52" s="13" t="s">
        <v>65</v>
      </c>
      <c r="G52" s="13" t="s">
        <v>65</v>
      </c>
      <c r="H52" s="13" t="s">
        <v>65</v>
      </c>
      <c r="I52" s="13" t="s">
        <v>65</v>
      </c>
      <c r="J52" s="13"/>
      <c r="K52" s="13"/>
      <c r="L52" s="13"/>
      <c r="M52" s="13"/>
      <c r="N52" s="13"/>
    </row>
    <row r="53" spans="2:14">
      <c r="B53" s="5" t="s">
        <v>145</v>
      </c>
      <c r="C53" s="13"/>
      <c r="D53" s="13"/>
      <c r="E53" s="13"/>
      <c r="F53" s="13"/>
      <c r="G53" s="13"/>
      <c r="H53" s="13">
        <f>+Vu</f>
        <v>4</v>
      </c>
      <c r="I53" s="22">
        <f>+Fmp</f>
        <v>0</v>
      </c>
      <c r="J53" s="22"/>
      <c r="K53" s="22"/>
      <c r="L53" s="22"/>
      <c r="M53" s="22"/>
      <c r="N53" s="22"/>
    </row>
    <row r="54" spans="2:14">
      <c r="B54" s="5" t="s">
        <v>63</v>
      </c>
    </row>
    <row r="55" spans="2:14">
      <c r="B55" t="s">
        <v>23</v>
      </c>
    </row>
    <row r="56" spans="2:14">
      <c r="B56" t="s">
        <v>33</v>
      </c>
      <c r="C56" s="15"/>
      <c r="D56" s="15">
        <f ca="1">ABS(Da)*m/(SQRT(a_700*u)*Cd*R_700*(Asx*Aax_I25700+Asy*Aay_I25700+Asz*Aaz_I25700)*SegDia)</f>
        <v>329.1150249180692</v>
      </c>
      <c r="E56" s="15">
        <f>SQRT(u)*(ABS(SQRT(2/a_700-2/(2*a_700+Da))-SQRT(1/(a_700)))+ABS(SQRT(2/(a_700+Da)-2/(2*a_700+Da))-SQRT(1/(a_700+Da))))</f>
        <v>2.303906670692665</v>
      </c>
      <c r="F56" s="15">
        <f>m*(1-EXP(-E56/(g0*Isp)))</f>
        <v>0.59446920701996764</v>
      </c>
      <c r="G56" s="15">
        <f ca="1">+(365/D56)*F56</f>
        <v>0.65928700950770658</v>
      </c>
      <c r="H56" s="15">
        <f ca="1">+G56*Vu</f>
        <v>2.6371480380308263</v>
      </c>
      <c r="I56" s="15">
        <f ca="1">+(1+Fmp)*H56</f>
        <v>2.6371480380308263</v>
      </c>
      <c r="J56" s="15"/>
      <c r="K56" s="15"/>
      <c r="L56" s="15"/>
      <c r="M56" s="15"/>
      <c r="N56" s="15"/>
    </row>
    <row r="57" spans="2:14">
      <c r="B57" t="s">
        <v>19</v>
      </c>
      <c r="C57" s="15"/>
      <c r="D57" s="15">
        <f ca="1">ABS(Da)*m/(SQRT(a_1500*u)*Cd*R_1500*(Asx*Aax_I251500+Asy*Aay_I251500+Asz*Aaz_I251500)*SegDia)</f>
        <v>46821.54208302874</v>
      </c>
      <c r="E57" s="15">
        <f>SQRT(u)*(ABS(SQRT(2/a_1500-2/(2*a_1500+Da))-SQRT(1/(a_1500)))+ABS(SQRT(2/(a_1500+Da)-2/(2*a_1500+Da))-SQRT(1/(a_1500+Da))))</f>
        <v>1.9621326896393103</v>
      </c>
      <c r="F57" s="15">
        <f>m*(1-EXP(-E57/(g0*Isp)))</f>
        <v>0.50632252326756289</v>
      </c>
      <c r="G57" s="15">
        <f ca="1">+(365/D57)*F57</f>
        <v>3.9470660890438113E-3</v>
      </c>
      <c r="H57" s="15">
        <f ca="1">+G57*Vu</f>
        <v>1.5788264356175245E-2</v>
      </c>
      <c r="I57" s="15">
        <f ca="1">+(1+Fmp)*H57</f>
        <v>1.5788264356175245E-2</v>
      </c>
      <c r="J57" s="15"/>
      <c r="K57" s="15"/>
      <c r="L57" s="15"/>
      <c r="M57" s="15"/>
      <c r="N57" s="15"/>
    </row>
    <row r="59" spans="2:14">
      <c r="B59" t="s">
        <v>30</v>
      </c>
    </row>
    <row r="60" spans="2:14">
      <c r="B60" t="s">
        <v>33</v>
      </c>
      <c r="C60" s="15"/>
      <c r="D60" s="15">
        <f ca="1">ABS(Da)*m/(SQRT(a_700*u)*Cd*R_700*((Asx+Aps_y)*Aax_I25700+Asy*Aay_I25700+Asz*Aaz_I25700)*SegDia)</f>
        <v>186.10868676920475</v>
      </c>
      <c r="E60" s="15">
        <f>SQRT(u)*(ABS(SQRT(2/a_700-2/(2*a_700+Da))-SQRT(1/(a_700)))+ABS(SQRT(2/(a_700+Da)-2/(2*a_700+Da))-SQRT(1/(a_700+Da))))</f>
        <v>2.303906670692665</v>
      </c>
      <c r="F60" s="15">
        <f>m*(1-EXP(-E60/(g0*Isp)))</f>
        <v>0.59446920701996764</v>
      </c>
      <c r="G60" s="15">
        <f ca="1">+(365/D60)*F60</f>
        <v>1.1658846469180069</v>
      </c>
      <c r="H60" s="15">
        <f ca="1">+G60*Vu</f>
        <v>4.6635385876720274</v>
      </c>
      <c r="I60" s="15">
        <f ca="1">+(1+Fmp)*H60</f>
        <v>4.6635385876720274</v>
      </c>
      <c r="J60" s="15"/>
      <c r="K60" s="15"/>
      <c r="L60" s="15"/>
      <c r="M60" s="15"/>
      <c r="N60" s="15"/>
    </row>
    <row r="61" spans="2:14">
      <c r="B61" t="s">
        <v>19</v>
      </c>
      <c r="C61" s="15"/>
      <c r="D61" s="15">
        <f ca="1">ABS(Da)*m/(SQRT(a_1500*u)*Cd*R_1500*((Asx+Aps_y)*Aax_I251500+Asy*Aay_I251500+Asz*Aaz_I251500)*SegDia)</f>
        <v>26357.470842685165</v>
      </c>
      <c r="E61" s="15">
        <f>SQRT(u)*(ABS(SQRT(2/a_1500-2/(2*a_1500+Da))-SQRT(1/(a_1500)))+ABS(SQRT(2/(a_1500+Da)-2/(2*a_1500+Da))-SQRT(1/(a_1500+Da))))</f>
        <v>1.9621326896393103</v>
      </c>
      <c r="F61" s="15">
        <f>m*(1-EXP(-E61/(g0*Isp)))</f>
        <v>0.50632252326756289</v>
      </c>
      <c r="G61" s="15">
        <f ca="1">+(365/D61)*F61</f>
        <v>7.0115877997432774E-3</v>
      </c>
      <c r="H61" s="15">
        <f ca="1">+G61*Vu</f>
        <v>2.8046351198973109E-2</v>
      </c>
      <c r="I61" s="15">
        <f ca="1">+(1+Fmp)*H61</f>
        <v>2.8046351198973109E-2</v>
      </c>
      <c r="J61" s="15"/>
      <c r="K61" s="15"/>
      <c r="L61" s="15"/>
      <c r="M61" s="15"/>
      <c r="N61" s="15"/>
    </row>
    <row r="63" spans="2:14">
      <c r="B63" t="s">
        <v>31</v>
      </c>
    </row>
    <row r="64" spans="2:14">
      <c r="B64" t="s">
        <v>33</v>
      </c>
      <c r="C64" s="15"/>
      <c r="D64" s="15">
        <f ca="1">ABS(Da)*m/(SQRT(a_700*u)*Cd*R_700*((Asx+Aps_y+APS_my)*Aax_I25700+Asy*Aay_I25700+Asz*Aaz_I25700)*SegDia)</f>
        <v>129.73605914721603</v>
      </c>
      <c r="E64" s="15">
        <f>SQRT(u)*(ABS(SQRT(2/a_700-2/(2*a_700+Da))-SQRT(1/(a_700)))+ABS(SQRT(2/(a_700+Da)-2/(2*a_700+Da))-SQRT(1/(a_700+Da))))</f>
        <v>2.303906670692665</v>
      </c>
      <c r="F64" s="15">
        <f>m*(1-EXP(-E64/(g0*Isp)))</f>
        <v>0.59446920701996764</v>
      </c>
      <c r="G64" s="15">
        <f ca="1">+(365/D64)*F64</f>
        <v>1.6724822843283067</v>
      </c>
      <c r="H64" s="15">
        <f ca="1">+G64*Vu</f>
        <v>6.6899291373132268</v>
      </c>
      <c r="I64" s="15">
        <f ca="1">+(1+Fmp)*H64</f>
        <v>6.6899291373132268</v>
      </c>
      <c r="J64" s="15"/>
      <c r="K64" s="15"/>
      <c r="L64" s="15"/>
      <c r="M64" s="15"/>
      <c r="N64" s="15"/>
    </row>
    <row r="65" spans="1:14">
      <c r="B65" t="s">
        <v>19</v>
      </c>
      <c r="C65" s="15"/>
      <c r="D65" s="15">
        <f ca="1">ABS(Da)*m/(SQRT(a_1500*u)*Cd*R_1500*((Asx+Aps_y+APS_my)*Aax_I251500+Asy*Aay_I251500+Asz*Aaz_I251500)*SegDia)</f>
        <v>18341.178289212541</v>
      </c>
      <c r="E65" s="15">
        <f>SQRT(u)*(ABS(SQRT(2/a_1500-2/(2*a_1500+Da))-SQRT(1/(a_1500)))+ABS(SQRT(2/(a_1500+Da)-2/(2*a_1500+Da))-SQRT(1/(a_1500+Da))))</f>
        <v>1.9621326896393103</v>
      </c>
      <c r="F65" s="15">
        <f>m*(1-EXP(-E65/(g0*Isp)))</f>
        <v>0.50632252326756289</v>
      </c>
      <c r="G65" s="15">
        <f ca="1">+(365/D65)*F65</f>
        <v>1.0076109510442743E-2</v>
      </c>
      <c r="H65" s="15">
        <f ca="1">+G65*Vu</f>
        <v>4.0304438041770974E-2</v>
      </c>
      <c r="I65" s="15">
        <f ca="1">+(1+Fmp)*H65</f>
        <v>4.0304438041770974E-2</v>
      </c>
      <c r="J65" s="15"/>
      <c r="K65" s="15"/>
      <c r="L65" s="15"/>
      <c r="M65" s="15"/>
      <c r="N65" s="15"/>
    </row>
    <row r="66" spans="1:14" ht="15.75" thickBot="1"/>
    <row r="67" spans="1:14" ht="15.75" thickBot="1">
      <c r="A67" s="583" t="s">
        <v>652</v>
      </c>
      <c r="B67" s="584"/>
      <c r="C67" s="584"/>
      <c r="D67" s="584"/>
      <c r="E67" s="584"/>
      <c r="F67" s="584"/>
      <c r="G67" s="584"/>
      <c r="H67" s="584"/>
      <c r="I67" s="585"/>
    </row>
    <row r="68" spans="1:14">
      <c r="A68" s="99"/>
      <c r="B68" s="57"/>
      <c r="C68" s="57"/>
      <c r="D68" s="57"/>
      <c r="E68" s="619" t="s">
        <v>813</v>
      </c>
      <c r="F68" s="620"/>
      <c r="G68" s="621"/>
      <c r="H68" s="616" t="str">
        <f>NomPlat</f>
        <v>PMM</v>
      </c>
      <c r="I68" s="617"/>
    </row>
    <row r="69" spans="1:14">
      <c r="A69" s="132" t="s">
        <v>815</v>
      </c>
      <c r="B69" s="232" t="s">
        <v>527</v>
      </c>
      <c r="C69" s="232" t="s">
        <v>796</v>
      </c>
      <c r="D69" s="214" t="s">
        <v>797</v>
      </c>
      <c r="E69" s="238">
        <v>400</v>
      </c>
      <c r="F69" s="232">
        <v>700</v>
      </c>
      <c r="G69" s="239">
        <v>1500</v>
      </c>
      <c r="H69" s="243">
        <f>Orbbaix</f>
        <v>600</v>
      </c>
      <c r="I69" s="244">
        <f>Orbalta</f>
        <v>1200</v>
      </c>
      <c r="J69" s="92"/>
    </row>
    <row r="70" spans="1:14" ht="15.75" thickBot="1">
      <c r="A70" s="169"/>
      <c r="B70" s="158"/>
      <c r="C70" s="158"/>
      <c r="D70" s="158"/>
      <c r="E70" s="240" t="s">
        <v>65</v>
      </c>
      <c r="F70" s="241" t="s">
        <v>65</v>
      </c>
      <c r="G70" s="242" t="s">
        <v>65</v>
      </c>
      <c r="H70" s="245" t="s">
        <v>65</v>
      </c>
      <c r="I70" s="246" t="s">
        <v>65</v>
      </c>
    </row>
    <row r="71" spans="1:14">
      <c r="A71" s="618" t="s">
        <v>463</v>
      </c>
      <c r="B71" s="615">
        <v>0</v>
      </c>
      <c r="C71" s="615" t="s">
        <v>464</v>
      </c>
      <c r="D71" s="217">
        <v>1</v>
      </c>
      <c r="E71" s="233" t="str">
        <f>IF(AsaRot2=1,"NA",(+OcEQU0400*ApNadir*Capac_Esp!$F$7*$I12))</f>
        <v>NA</v>
      </c>
      <c r="F71" s="234" t="str">
        <f>IF(AsaRot2=1,"NA",(OcEQU0700*ApNadir*Capac_Esp!$F$7*I13))</f>
        <v>NA</v>
      </c>
      <c r="G71" s="235" t="str">
        <f>IF(AsaRot2=1,"NA",(OcEQU01500*ApNadir*Capac_Esp!$F$7*I14))</f>
        <v>NA</v>
      </c>
      <c r="H71" s="236" t="str">
        <f>IF(AsaRot2=1,"NA",(((E71/EXP(-0.006*E$69)+F71/EXP(-0.006*F$69)+G71/EXP(-0.006*G$69))/3)*EXP(-0.006*H$69)))</f>
        <v>NA</v>
      </c>
      <c r="I71" s="237" t="str">
        <f>IF(AsaRot2=1,"NA",(((E71/EXP(-0.006*E$69)+F71/EXP(-0.006*F$69)+G71/EXP(-0.006*G$69))/3)*EXP(-0.006*I$69)))</f>
        <v>NA</v>
      </c>
      <c r="J71" s="15"/>
    </row>
    <row r="72" spans="1:14">
      <c r="A72" s="612"/>
      <c r="B72" s="610"/>
      <c r="C72" s="610"/>
      <c r="D72" s="218">
        <v>2</v>
      </c>
      <c r="E72" s="220">
        <f ca="1">(+OcEQU0400*ApNadir*Capac_Esp!$F$7*I17)</f>
        <v>27.252894419510856</v>
      </c>
      <c r="F72" s="216">
        <f ca="1">(OcEQU0700*ApNadir*Capac_Esp!$F$7*I18)</f>
        <v>0.69946054452888684</v>
      </c>
      <c r="G72" s="221">
        <f ca="1">(OcEQU01500*ApNadir*Capac_Esp!$F$7*I19)</f>
        <v>4.1978954202583829E-3</v>
      </c>
      <c r="H72" s="228">
        <f ca="1">(((E72/EXP(-0.006*E$69)+F72/EXP(-0.006*F$69)+G72/EXP(-0.006*G$69))/3)*EXP(-0.006*H$69))</f>
        <v>3.4707850819759556</v>
      </c>
      <c r="I72" s="117">
        <f ca="1">(((E72/EXP(-0.006*E$69)+F72/EXP(-0.006*F$69)+G72/EXP(-0.006*G$69))/3)*EXP(-0.006*I$69))</f>
        <v>9.4834768254114563E-2</v>
      </c>
      <c r="J72" s="15"/>
    </row>
    <row r="73" spans="1:14">
      <c r="A73" s="611" t="s">
        <v>814</v>
      </c>
      <c r="B73" s="610">
        <v>12</v>
      </c>
      <c r="C73" s="610" t="s">
        <v>464</v>
      </c>
      <c r="D73" s="125">
        <v>1</v>
      </c>
      <c r="E73" s="222" t="str">
        <f>IF(AsaRot2=1,"NA",(OcEQU12400*ApNadir*Capac_Esp!$F$7*$I12))</f>
        <v>NA</v>
      </c>
      <c r="F73" s="215" t="str">
        <f>IF(AsaRot2=1,"NA",(OcEQU12700*ApNadir*Capac_Esp!$F$7*I13))</f>
        <v>NA</v>
      </c>
      <c r="G73" s="223" t="str">
        <f>IF(AsaRot2=1,"NA",(OcEQU121500*ApNadir*Capac_Esp!$F$7*I14))</f>
        <v>NA</v>
      </c>
      <c r="H73" s="229" t="str">
        <f>IF(AsaRot2=1,"NA",(((E73/EXP(-0.006*E$69)+F73/EXP(-0.006*F$69)+G73/EXP(-0.006*G$69))/3)*EXP(-0.006*H$69)))</f>
        <v>NA</v>
      </c>
      <c r="I73" s="230" t="str">
        <f>IF(AsaRot2=1,"NA",(((E73/EXP(-0.006*E$69)+F73/EXP(-0.006*F$69)+G73/EXP(-0.006*G$69))/3)*EXP(-0.006*I$69)))</f>
        <v>NA</v>
      </c>
      <c r="J73" s="15"/>
      <c r="L73" s="4"/>
    </row>
    <row r="74" spans="1:14">
      <c r="A74" s="611"/>
      <c r="B74" s="610"/>
      <c r="C74" s="610"/>
      <c r="D74" s="218">
        <v>2</v>
      </c>
      <c r="E74" s="220">
        <f ca="1">(OcEQU12400*ApNadir*Capac_Esp!$F$7*I17)</f>
        <v>27.252894419510856</v>
      </c>
      <c r="F74" s="216">
        <f ca="1">(OcEQU12700*ApNadir*Capac_Esp!$F$7*I18)</f>
        <v>0.69946054452888684</v>
      </c>
      <c r="G74" s="221">
        <f ca="1">(OcEQU121500*ApNadir*Capac_Esp!$F$7*I19)</f>
        <v>4.1978954202583829E-3</v>
      </c>
      <c r="H74" s="228">
        <f ca="1">(((E74/EXP(-0.006*E$69)+F74/EXP(-0.006*F$69)+G74/EXP(-0.006*G$69))/3)*EXP(-0.006*H$69))</f>
        <v>3.4707850819759556</v>
      </c>
      <c r="I74" s="117">
        <f ca="1">(((E74/EXP(-0.006*E$69)+F74/EXP(-0.006*F$69)+G74/EXP(-0.006*G$69))/3)*EXP(-0.006*I$69))</f>
        <v>9.4834768254114563E-2</v>
      </c>
      <c r="J74" s="15"/>
      <c r="L74" s="4"/>
    </row>
    <row r="75" spans="1:14" ht="15" customHeight="1">
      <c r="A75" s="611" t="s">
        <v>814</v>
      </c>
      <c r="B75" s="610">
        <v>25</v>
      </c>
      <c r="C75" s="610" t="s">
        <v>464</v>
      </c>
      <c r="D75" s="125">
        <v>1</v>
      </c>
      <c r="E75" s="222" t="str">
        <f>IF(AsaRot2=1,"NA",(OcEQU25400*ApNadir*Capac_Esp!$F$7*$I12))</f>
        <v>NA</v>
      </c>
      <c r="F75" s="215" t="str">
        <f>IF(AsaRot2=1,"NA",(OcEQU25700*ApNadir*Capac_Esp!$F$7*I13))</f>
        <v>NA</v>
      </c>
      <c r="G75" s="223" t="str">
        <f>IF(AsaRot2=1,"NA",(OcEQU251500*ApNadir*Capac_Esp!$F$7*I14))</f>
        <v>NA</v>
      </c>
      <c r="H75" s="229" t="str">
        <f>IF(AsaRot2=1,"NA",(((E75/EXP(-0.006*E$69)+F75/EXP(-0.006*F$69)+G75/EXP(-0.006*G$69))/3)*EXP(-0.006*H$69)))</f>
        <v>NA</v>
      </c>
      <c r="I75" s="230" t="str">
        <f>IF(AsaRot2=1,"NA",(((E75/EXP(-0.006*E$69)+F75/EXP(-0.006*F$69)+G75/EXP(-0.006*G$69))/3)*EXP(-0.006*I$69)))</f>
        <v>NA</v>
      </c>
      <c r="J75" s="15"/>
      <c r="L75" s="4"/>
    </row>
    <row r="76" spans="1:14">
      <c r="A76" s="611"/>
      <c r="B76" s="610"/>
      <c r="C76" s="610"/>
      <c r="D76" s="218">
        <v>2</v>
      </c>
      <c r="E76" s="220">
        <f ca="1">(OcEQU25400*ApNadir*Capac_Esp!$F$7*I17)</f>
        <v>27.252894419510856</v>
      </c>
      <c r="F76" s="216">
        <f ca="1">(OcEQU25700*ApNadir*Capac_Esp!$F$7*I18)</f>
        <v>0.69946054452888684</v>
      </c>
      <c r="G76" s="221">
        <f ca="1">(OcEQU251500*ApNadir*Capac_Esp!$F$7*I19)</f>
        <v>4.1978954202583829E-3</v>
      </c>
      <c r="H76" s="228">
        <f ca="1">(((E76/EXP(-0.006*E$69)+F76/EXP(-0.006*F$69)+G76/EXP(-0.006*G$69))/3)*EXP(-0.006*H$69))</f>
        <v>3.4707850819759556</v>
      </c>
      <c r="I76" s="117">
        <f ca="1">(((E76/EXP(-0.006*E$69)+F76/EXP(-0.006*F$69)+G76/EXP(-0.006*G$69))/3)*EXP(-0.006*I$69))</f>
        <v>9.4834768254114563E-2</v>
      </c>
      <c r="J76" s="15"/>
    </row>
    <row r="77" spans="1:14">
      <c r="A77" s="612" t="s">
        <v>463</v>
      </c>
      <c r="B77" s="610">
        <v>0</v>
      </c>
      <c r="C77" s="610" t="s">
        <v>332</v>
      </c>
      <c r="D77" s="125">
        <v>1</v>
      </c>
      <c r="E77" s="224"/>
      <c r="F77" s="215" t="str">
        <f>IF(AsaRot2=1,"NA",(+OcEQU0700*ApSol*Capac_Esp!$F$7*I31))</f>
        <v>NA</v>
      </c>
      <c r="G77" s="223" t="str">
        <f>IF(AsaRot2=1,"NA",(+OcEQU01500*ApSol*Capac_Esp!$F$7*I32))</f>
        <v>NA</v>
      </c>
      <c r="H77" s="229" t="str">
        <f>IF(AsaRot2=1,"NA",(((F77/EXP(-0.006*F$69)+G77/EXP(-0.006*G$69))/2)*EXP(-0.006*H$69)))</f>
        <v>NA</v>
      </c>
      <c r="I77" s="230" t="str">
        <f>IF(AsaRot2=1,"NA",(((F77/EXP(-0.006*F$69)+G77/EXP(-0.006*G$69))/2)*EXP(-0.006*I$69)))</f>
        <v>NA</v>
      </c>
      <c r="J77" s="15"/>
      <c r="L77" s="4"/>
    </row>
    <row r="78" spans="1:14">
      <c r="A78" s="612"/>
      <c r="B78" s="610"/>
      <c r="C78" s="610"/>
      <c r="D78" s="218">
        <v>2</v>
      </c>
      <c r="E78" s="220"/>
      <c r="F78" s="216">
        <f ca="1">(+OcEQU0700*ApSol*Capac_Esp!$F$7*I35)</f>
        <v>0.88017233631554193</v>
      </c>
      <c r="G78" s="221">
        <f ca="1">(+OcEQU01500*ApSol*Capac_Esp!$F$7*I36)</f>
        <v>5.2827688964132659E-3</v>
      </c>
      <c r="H78" s="228">
        <f ca="1">(((F78/EXP(-0.006*F$69)+G78/EXP(-0.006*G$69))/2)*EXP(-0.006*H$69))*(AsaRot2)</f>
        <v>1.3867087452869982</v>
      </c>
      <c r="I78" s="117">
        <f ca="1">(((F78/EXP(-0.006*F$69)+G78/EXP(-0.006*G$69))/2)*EXP(-0.006*I$69))*(AsaRot2)</f>
        <v>3.7890044871455253E-2</v>
      </c>
      <c r="J78" s="15"/>
      <c r="L78" s="4"/>
    </row>
    <row r="79" spans="1:14" ht="15" customHeight="1">
      <c r="A79" s="611" t="s">
        <v>814</v>
      </c>
      <c r="B79" s="610">
        <v>12</v>
      </c>
      <c r="C79" s="610" t="s">
        <v>332</v>
      </c>
      <c r="D79" s="125">
        <v>1</v>
      </c>
      <c r="E79" s="224"/>
      <c r="F79" s="215" t="str">
        <f>IF(AsaRot2=1,"NA",(+OcEQU12700*ApSol*Capac_Esp!$F$7*I44))</f>
        <v>NA</v>
      </c>
      <c r="G79" s="223" t="str">
        <f>IF(AsaRot2=1,"NA",(+OcEQU121500*ApSol*Capac_Esp!$F$7*I45))</f>
        <v>NA</v>
      </c>
      <c r="H79" s="229" t="str">
        <f>IF(AsaRot2=1,"NA",(((F79/EXP(-0.006*F$69)+G79/EXP(-0.006*G$69))/2)*EXP(-0.006*H$69)))</f>
        <v>NA</v>
      </c>
      <c r="I79" s="230" t="str">
        <f>IF(AsaRot2=1,"NA",(((F79/EXP(-0.006*F$69)+G79/EXP(-0.006*G$69))/2)*EXP(-0.006*I$69)))</f>
        <v>NA</v>
      </c>
      <c r="J79" s="15"/>
    </row>
    <row r="80" spans="1:14">
      <c r="A80" s="611"/>
      <c r="B80" s="610"/>
      <c r="C80" s="610"/>
      <c r="D80" s="218">
        <v>2</v>
      </c>
      <c r="E80" s="220"/>
      <c r="F80" s="216">
        <f ca="1">(+OcEQU12700*ApSol*Capac_Esp!$F$7*I48)</f>
        <v>0.87627530798938691</v>
      </c>
      <c r="G80" s="221">
        <f ca="1">(+OcEQU121500*ApSol*Capac_Esp!$F$7*I49)</f>
        <v>5.1969313182470044E-3</v>
      </c>
      <c r="H80" s="228">
        <f ca="1">(((F80/EXP(-0.006*F$69)+G80/EXP(-0.006*G$69))/2)*EXP(-0.006*H$69))*(AsaRot2)</f>
        <v>1.3736558257189082</v>
      </c>
      <c r="I80" s="117">
        <f ca="1">(((F80/EXP(-0.006*F$69)+G80/EXP(-0.006*G$69))/2)*EXP(-0.006*I$69))*(AsaRot2)</f>
        <v>3.753339052004992E-2</v>
      </c>
      <c r="J80" s="15"/>
    </row>
    <row r="81" spans="1:10" ht="15" customHeight="1">
      <c r="A81" s="611" t="s">
        <v>814</v>
      </c>
      <c r="B81" s="610">
        <v>25</v>
      </c>
      <c r="C81" s="610" t="s">
        <v>332</v>
      </c>
      <c r="D81" s="125">
        <v>1</v>
      </c>
      <c r="E81" s="224"/>
      <c r="F81" s="215" t="str">
        <f>IF(AsaRot2=1,"NA",(+OcEQU25700*ApSol*Capac_Esp!$F$7*I60))</f>
        <v>NA</v>
      </c>
      <c r="G81" s="223" t="str">
        <f>IF(AsaRot2=1,"NA",(+OcEQU251500*ApSol*Capac_Esp!$F$7*I61))</f>
        <v>NA</v>
      </c>
      <c r="H81" s="229" t="str">
        <f>IF(AsaRot2=1,"NA",(((F81/EXP(-0.006*F$69)+G81/EXP(-0.006*G$69))/2)*EXP(-0.006*H$69)))</f>
        <v>NA</v>
      </c>
      <c r="I81" s="230" t="str">
        <f>IF(AsaRot2=1,"NA",(((F81/EXP(-0.006*F$69)+G81/EXP(-0.006*G$69))/2)*EXP(-0.006*I$69)))</f>
        <v>NA</v>
      </c>
      <c r="J81" s="15"/>
    </row>
    <row r="82" spans="1:10">
      <c r="A82" s="611"/>
      <c r="B82" s="610"/>
      <c r="C82" s="610"/>
      <c r="D82" s="218">
        <v>2</v>
      </c>
      <c r="E82" s="220"/>
      <c r="F82" s="216">
        <f ca="1">(+OcEQU25700*ApSol*Capac_Esp!$F$7*I64)</f>
        <v>0.86433192988542995</v>
      </c>
      <c r="G82" s="221">
        <f ca="1">(+OcEQU251500*ApSol*Capac_Esp!$F$7*I65)</f>
        <v>5.2072917366629175E-3</v>
      </c>
      <c r="H82" s="228">
        <f ca="1">(((F82/EXP(-0.006*F$69)+G82/EXP(-0.006*G$69))/2)*EXP(-0.006*H$69))*(AsaRot2)</f>
        <v>1.3639216303831336</v>
      </c>
      <c r="I82" s="117">
        <f ca="1">(((F82/EXP(-0.006*F$69)+G82/EXP(-0.006*G$69))/2)*EXP(-0.006*I$69))*(AsaRot2)</f>
        <v>3.7267416068447488E-2</v>
      </c>
      <c r="J82" s="15"/>
    </row>
    <row r="83" spans="1:10">
      <c r="A83" s="611" t="s">
        <v>503</v>
      </c>
      <c r="B83" s="115" t="s">
        <v>504</v>
      </c>
      <c r="C83" s="610" t="s">
        <v>464</v>
      </c>
      <c r="D83" s="125">
        <v>1</v>
      </c>
      <c r="E83" s="222" t="str">
        <f>IF(AsaRot2=1,"NA",(OcSSO10H400*ApNadir*Capac_Esp!$F$7*I12))</f>
        <v>NA</v>
      </c>
      <c r="F83" s="215" t="str">
        <f>IF(AsaRot2=1,"NA",(OcSSO10H700*ApNadir*Capac_Esp!$F$7*I13))</f>
        <v>NA</v>
      </c>
      <c r="G83" s="223" t="str">
        <f>IF(AsaRot2=1,"NA",(OcSSO10H1500*ApNadir*Capac_Esp!$F$7*I14))</f>
        <v>NA</v>
      </c>
      <c r="H83" s="229" t="str">
        <f>IF(AsaRot2=1,"NA",(((E83/EXP(-0.006*E$69)+F83/EXP(-0.006*F$69)+G83/EXP(-0.006*G$69))/3)*EXP(-0.006*H$69)))</f>
        <v>NA</v>
      </c>
      <c r="I83" s="230" t="str">
        <f>IF(AsaRot2=1,"NA",(((E83/EXP(-0.006*E$69)+F83/EXP(-0.006*F$69)+G83/EXP(-0.006*G$69))/3)*EXP(-0.006*I$69)))</f>
        <v>NA</v>
      </c>
      <c r="J83" s="15"/>
    </row>
    <row r="84" spans="1:10">
      <c r="A84" s="611"/>
      <c r="B84" s="115">
        <v>100</v>
      </c>
      <c r="C84" s="610"/>
      <c r="D84" s="218">
        <v>2</v>
      </c>
      <c r="E84" s="220">
        <f ca="1">(OcSSO10H400*ApNadir*Capac_Esp!$F$7*I17)</f>
        <v>27.252894419510856</v>
      </c>
      <c r="F84" s="216">
        <f ca="1">(OcSSO10H700*ApNadir*Capac_Esp!$F$7*I18)</f>
        <v>0.69946054452888684</v>
      </c>
      <c r="G84" s="221">
        <f ca="1">(OcSSO10H1500*ApNadir*Capac_Esp!$F$7*I19)</f>
        <v>4.1978954202583829E-3</v>
      </c>
      <c r="H84" s="228">
        <f ca="1">(((E84/EXP(-0.006*E$69)+F84/EXP(-0.006*F$69)+G84/EXP(-0.006*G$69))/3)*EXP(-0.006*H$69))*(AsaRot2)</f>
        <v>3.4707850819759556</v>
      </c>
      <c r="I84" s="117">
        <f ca="1">(((E84/EXP(-0.006*E$69)+F84/EXP(-0.006*F$69)+G84/EXP(-0.006*G$69))/3)*EXP(-0.006*I$69))*(AsaRot2)</f>
        <v>9.4834768254114563E-2</v>
      </c>
      <c r="J84" s="15"/>
    </row>
    <row r="85" spans="1:10">
      <c r="A85" s="611" t="s">
        <v>507</v>
      </c>
      <c r="B85" s="115" t="s">
        <v>504</v>
      </c>
      <c r="C85" s="610" t="s">
        <v>464</v>
      </c>
      <c r="D85" s="125">
        <v>1</v>
      </c>
      <c r="E85" s="222" t="str">
        <f>IF(AsaRot2=1,"NA",(OcSSO12H400*ApNadir*Capac_Esp!$F$7*I12))</f>
        <v>NA</v>
      </c>
      <c r="F85" s="215" t="str">
        <f>IF(AsaRot2=1,"NA",(OcSSO12H700*ApNadir*Capac_Esp!$F$7*I13))</f>
        <v>NA</v>
      </c>
      <c r="G85" s="223" t="str">
        <f>IF(AsaRot2=1,"NA",(OcSSO12H1500*ApNadir*Capac_Esp!$F$7*I14))</f>
        <v>NA</v>
      </c>
      <c r="H85" s="229" t="str">
        <f>IF(AsaRot2=1,"NA",(((E85/EXP(-0.006*E$69)+F85/EXP(-0.006*F$69)+G85/EXP(-0.006*G$69))/3)*EXP(-0.006*H$69)))</f>
        <v>NA</v>
      </c>
      <c r="I85" s="230" t="str">
        <f>IF(AsaRot2=1,"NA",(((E85/EXP(-0.006*E$69)+F85/EXP(-0.006*F$69)+G85/EXP(-0.006*G$69))/3)*EXP(-0.006*I$69)))</f>
        <v>NA</v>
      </c>
      <c r="J85" s="15"/>
    </row>
    <row r="86" spans="1:10" ht="15.75" thickBot="1">
      <c r="A86" s="613"/>
      <c r="B86" s="120">
        <v>100</v>
      </c>
      <c r="C86" s="614"/>
      <c r="D86" s="219">
        <v>2</v>
      </c>
      <c r="E86" s="225">
        <f ca="1">(OcSSO12H400*ApNadir*Capac_Esp!$F$7*I17)</f>
        <v>27.252894419510856</v>
      </c>
      <c r="F86" s="226">
        <f ca="1">(OcSSO12H700*ApNadir*Capac_Esp!$F$7*I18)</f>
        <v>0.69946054452888684</v>
      </c>
      <c r="G86" s="227">
        <f ca="1">(OcSSO12H1500*ApNadir*Capac_Esp!$F$7*I19)</f>
        <v>4.1978954202583829E-3</v>
      </c>
      <c r="H86" s="231">
        <f ca="1">(((E86/EXP(-0.006*E$69)+F86/EXP(-0.006*F$69)+G86/EXP(-0.006*G$69))/3)*EXP(-0.006*H$69))*(AsaRot2)</f>
        <v>3.4707850819759556</v>
      </c>
      <c r="I86" s="121">
        <f ca="1">(((E86/EXP(-0.006*E$69)+F86/EXP(-0.006*F$69)+G86/EXP(-0.006*G$69))/3)*EXP(-0.006*I$69))*(AsaRot2)</f>
        <v>9.4834768254114563E-2</v>
      </c>
      <c r="J86" s="15"/>
    </row>
    <row r="87" spans="1:10" ht="15.75" thickBot="1">
      <c r="A87" s="127" t="s">
        <v>474</v>
      </c>
      <c r="B87" s="128">
        <f ca="1">MAX(H71:I86)</f>
        <v>3.4707850819759556</v>
      </c>
      <c r="C87" s="127" t="s">
        <v>500</v>
      </c>
      <c r="D87" s="128">
        <f ca="1">MIN(H72,I72,H74,I74,H76,I76,H78,I78,H80,I80,H82,I82,H84,I84,H86,I86,H71,I71,H73,I73,H75,I75,H77,I77,H79,I79,H81,I81,H83,I83,H85,I85)</f>
        <v>3.7267416068447488E-2</v>
      </c>
      <c r="E87" s="188" t="s">
        <v>529</v>
      </c>
      <c r="F87" s="189">
        <f ca="1">(B87-D87)/ConfTanks</f>
        <v>3.433517665907508</v>
      </c>
      <c r="G87" s="473" t="s">
        <v>780</v>
      </c>
      <c r="H87" s="100">
        <f ca="1">F87*Qtanks/ConfTanks</f>
        <v>3.433517665907508</v>
      </c>
    </row>
    <row r="88" spans="1:10" s="155" customFormat="1" ht="15.75" thickBot="1">
      <c r="A88" s="608" t="s">
        <v>778</v>
      </c>
      <c r="B88" s="609"/>
      <c r="C88" s="609"/>
      <c r="D88" s="497">
        <f>ConfTanks</f>
        <v>1</v>
      </c>
      <c r="E88" s="499" t="s">
        <v>891</v>
      </c>
      <c r="F88" s="498"/>
      <c r="G88" s="506">
        <f>Qtanks</f>
        <v>1</v>
      </c>
      <c r="H88"/>
    </row>
    <row r="347" spans="2:4">
      <c r="B347" s="57"/>
      <c r="C347" s="57"/>
      <c r="D347" s="57"/>
    </row>
    <row r="348" spans="2:4">
      <c r="B348" s="126"/>
      <c r="C348" s="126"/>
      <c r="D348" s="126"/>
    </row>
  </sheetData>
  <sheetProtection password="CAF5" sheet="1" objects="1" scenarios="1"/>
  <mergeCells count="26">
    <mergeCell ref="C85:C86"/>
    <mergeCell ref="A67:I67"/>
    <mergeCell ref="B71:B72"/>
    <mergeCell ref="C71:C72"/>
    <mergeCell ref="B73:B74"/>
    <mergeCell ref="C73:C74"/>
    <mergeCell ref="H68:I68"/>
    <mergeCell ref="A71:A72"/>
    <mergeCell ref="A73:A74"/>
    <mergeCell ref="E68:G68"/>
    <mergeCell ref="A88:C88"/>
    <mergeCell ref="B77:B78"/>
    <mergeCell ref="C77:C78"/>
    <mergeCell ref="B79:B80"/>
    <mergeCell ref="A75:A76"/>
    <mergeCell ref="B75:B76"/>
    <mergeCell ref="C75:C76"/>
    <mergeCell ref="A77:A78"/>
    <mergeCell ref="A79:A80"/>
    <mergeCell ref="C79:C80"/>
    <mergeCell ref="B81:B82"/>
    <mergeCell ref="C81:C82"/>
    <mergeCell ref="A81:A82"/>
    <mergeCell ref="A83:A84"/>
    <mergeCell ref="A85:A86"/>
    <mergeCell ref="C83:C84"/>
  </mergeCells>
  <pageMargins left="0.511811024" right="0.511811024" top="0.78740157499999996" bottom="0.78740157499999996" header="0.31496062000000002" footer="0.31496062000000002"/>
  <pageSetup paperSize="168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>
  <dimension ref="A2:K162"/>
  <sheetViews>
    <sheetView topLeftCell="A139" workbookViewId="0">
      <selection activeCell="B161" sqref="B161"/>
    </sheetView>
  </sheetViews>
  <sheetFormatPr defaultColWidth="8.85546875" defaultRowHeight="15"/>
  <cols>
    <col min="1" max="1" width="8.7109375" customWidth="1"/>
    <col min="2" max="2" width="6.140625" customWidth="1"/>
    <col min="3" max="3" width="13.7109375" bestFit="1" customWidth="1"/>
    <col min="4" max="4" width="8.42578125" bestFit="1" customWidth="1"/>
    <col min="5" max="5" width="9" bestFit="1" customWidth="1"/>
    <col min="6" max="7" width="8.42578125" bestFit="1" customWidth="1"/>
    <col min="8" max="8" width="6.42578125" customWidth="1"/>
    <col min="9" max="9" width="5.85546875" customWidth="1"/>
    <col min="10" max="12" width="8.42578125" customWidth="1"/>
    <col min="13" max="13" width="61.140625" bestFit="1" customWidth="1"/>
    <col min="14" max="14" width="9.42578125" bestFit="1" customWidth="1"/>
    <col min="15" max="15" width="11.140625" customWidth="1"/>
  </cols>
  <sheetData>
    <row r="2" spans="1:11">
      <c r="A2" s="5" t="s">
        <v>170</v>
      </c>
    </row>
    <row r="3" spans="1:11" ht="15.75" thickBot="1">
      <c r="A3" s="5"/>
    </row>
    <row r="4" spans="1:11" ht="51" customHeight="1">
      <c r="A4" s="5"/>
      <c r="B4" s="514" t="s">
        <v>79</v>
      </c>
      <c r="C4" s="515" t="s">
        <v>87</v>
      </c>
      <c r="D4" s="516" t="s">
        <v>95</v>
      </c>
      <c r="E4" s="515" t="s">
        <v>96</v>
      </c>
      <c r="F4" s="517" t="s">
        <v>126</v>
      </c>
      <c r="G4" s="518" t="s">
        <v>125</v>
      </c>
      <c r="H4" s="19"/>
      <c r="I4" s="23" t="s">
        <v>149</v>
      </c>
      <c r="J4" s="14"/>
      <c r="K4" s="14"/>
    </row>
    <row r="5" spans="1:11">
      <c r="A5" s="5"/>
      <c r="B5" s="118"/>
      <c r="C5" s="468" t="s">
        <v>86</v>
      </c>
      <c r="D5" s="468" t="s">
        <v>97</v>
      </c>
      <c r="E5" s="468" t="s">
        <v>94</v>
      </c>
      <c r="F5" s="468" t="s">
        <v>94</v>
      </c>
      <c r="G5" s="469" t="s">
        <v>94</v>
      </c>
      <c r="H5" s="98"/>
      <c r="I5" s="98"/>
      <c r="J5" s="98"/>
      <c r="K5" s="98"/>
    </row>
    <row r="6" spans="1:11" ht="15.75" thickBot="1">
      <c r="A6" s="5"/>
      <c r="B6" s="539" t="s">
        <v>174</v>
      </c>
      <c r="C6" s="535"/>
      <c r="D6" s="535"/>
      <c r="E6" s="535"/>
      <c r="F6" s="535">
        <f>NodW</f>
        <v>3</v>
      </c>
      <c r="G6" s="540">
        <f>MdW</f>
        <v>0</v>
      </c>
      <c r="H6" s="22"/>
      <c r="I6" s="7" t="s">
        <v>175</v>
      </c>
      <c r="J6" s="98"/>
      <c r="K6" s="98"/>
    </row>
    <row r="7" spans="1:11" ht="15.75" thickBot="1">
      <c r="B7" s="538" t="s">
        <v>23</v>
      </c>
      <c r="C7" s="158"/>
      <c r="D7" s="158"/>
      <c r="E7" s="158"/>
      <c r="F7" s="158"/>
      <c r="G7" s="158"/>
    </row>
    <row r="8" spans="1:11">
      <c r="B8" s="341" t="s">
        <v>5</v>
      </c>
      <c r="C8" s="123"/>
      <c r="D8" s="542"/>
      <c r="E8" s="542"/>
      <c r="F8" s="542"/>
      <c r="G8" s="375"/>
      <c r="H8" s="15"/>
      <c r="I8" s="15"/>
      <c r="J8" s="15"/>
      <c r="K8" s="15"/>
    </row>
    <row r="9" spans="1:11">
      <c r="B9" s="520" t="s">
        <v>27</v>
      </c>
      <c r="C9" s="512">
        <f ca="1">(Cd*R_400*Asx*u/a_400)/2</f>
        <v>6.6341384076236236E-4</v>
      </c>
      <c r="D9" s="513">
        <f>Xcm-Xcp</f>
        <v>-1.3075299999999996</v>
      </c>
      <c r="E9" s="513">
        <f>(D10*C11-D11*C10)*T_400</f>
        <v>0</v>
      </c>
      <c r="F9" s="513">
        <f>+E9*NodW</f>
        <v>0</v>
      </c>
      <c r="G9" s="521">
        <f>+F9*(1+MdW)</f>
        <v>0</v>
      </c>
      <c r="H9" s="16"/>
      <c r="I9" s="15" t="s">
        <v>150</v>
      </c>
      <c r="J9" s="15"/>
      <c r="K9" s="15"/>
    </row>
    <row r="10" spans="1:11">
      <c r="B10" s="520" t="s">
        <v>28</v>
      </c>
      <c r="C10" s="512">
        <v>0</v>
      </c>
      <c r="D10" s="513">
        <f>Ycm-Ycp</f>
        <v>-0.03</v>
      </c>
      <c r="E10" s="513">
        <f ca="1">(D11*C9-D9*C11)*T_400</f>
        <v>-0.11053060155008783</v>
      </c>
      <c r="F10" s="513">
        <f ca="1">+E10*NodW</f>
        <v>-0.3315918046502635</v>
      </c>
      <c r="G10" s="521">
        <f ca="1">+F10*(1+MdW)</f>
        <v>-0.3315918046502635</v>
      </c>
      <c r="H10" s="16"/>
      <c r="I10" s="15" t="s">
        <v>151</v>
      </c>
      <c r="J10" s="15"/>
      <c r="K10" s="15"/>
    </row>
    <row r="11" spans="1:11">
      <c r="B11" s="520" t="s">
        <v>29</v>
      </c>
      <c r="C11" s="512">
        <v>0</v>
      </c>
      <c r="D11" s="513">
        <f>Zcm-Zcp</f>
        <v>-0.03</v>
      </c>
      <c r="E11" s="513">
        <f ca="1">(D9*C10-D10*C9)*T_400</f>
        <v>0.11053060155008783</v>
      </c>
      <c r="F11" s="513">
        <f ca="1">+E11*NodW</f>
        <v>0.3315918046502635</v>
      </c>
      <c r="G11" s="521">
        <f ca="1">+F11*(1+MdW)</f>
        <v>0.3315918046502635</v>
      </c>
      <c r="H11" s="16"/>
      <c r="I11" s="15" t="s">
        <v>152</v>
      </c>
      <c r="J11" s="15"/>
      <c r="K11" s="15"/>
    </row>
    <row r="12" spans="1:11">
      <c r="B12" s="118" t="s">
        <v>33</v>
      </c>
      <c r="C12" s="512"/>
      <c r="D12" s="409"/>
      <c r="E12" s="409"/>
      <c r="F12" s="409"/>
      <c r="G12" s="376"/>
      <c r="H12" s="15"/>
      <c r="I12" s="15"/>
      <c r="J12" s="15"/>
      <c r="K12" s="15"/>
    </row>
    <row r="13" spans="1:11">
      <c r="B13" s="520" t="s">
        <v>27</v>
      </c>
      <c r="C13" s="512">
        <f ca="1">(Cd*R_700*Asx*u/a_700)/2</f>
        <v>1.7025924701793127E-5</v>
      </c>
      <c r="D13" s="513">
        <f>Xcm-Xcp</f>
        <v>-1.3075299999999996</v>
      </c>
      <c r="E13" s="513">
        <f>(D14*C15-D15*C14)*T_700</f>
        <v>0</v>
      </c>
      <c r="F13" s="513">
        <f>+E13*NodW</f>
        <v>0</v>
      </c>
      <c r="G13" s="521">
        <f>+F13*(1+MdW)</f>
        <v>0</v>
      </c>
      <c r="H13" s="16"/>
      <c r="I13" s="15"/>
      <c r="J13" s="15"/>
      <c r="K13" s="15"/>
    </row>
    <row r="14" spans="1:11">
      <c r="B14" s="520" t="s">
        <v>28</v>
      </c>
      <c r="C14" s="512">
        <v>0</v>
      </c>
      <c r="D14" s="513">
        <f>Ycm-Ycp</f>
        <v>-0.03</v>
      </c>
      <c r="E14" s="513">
        <f ca="1">(D15*C13-D13*C15)*T_700</f>
        <v>-3.0270642180774045E-3</v>
      </c>
      <c r="F14" s="513">
        <f ca="1">+E14*NodW</f>
        <v>-9.0811926542322136E-3</v>
      </c>
      <c r="G14" s="521">
        <f ca="1">+F14*(1+MdW)</f>
        <v>-9.0811926542322136E-3</v>
      </c>
      <c r="H14" s="16"/>
      <c r="I14" s="15"/>
      <c r="J14" s="15"/>
      <c r="K14" s="15"/>
    </row>
    <row r="15" spans="1:11">
      <c r="B15" s="520" t="s">
        <v>29</v>
      </c>
      <c r="C15" s="512">
        <v>0</v>
      </c>
      <c r="D15" s="513">
        <f>Zcm-Zcp</f>
        <v>-0.03</v>
      </c>
      <c r="E15" s="513">
        <f ca="1">(D13*C14-D14*C13)*T_700</f>
        <v>3.0270642180774045E-3</v>
      </c>
      <c r="F15" s="513">
        <f ca="1">+E15*NodW</f>
        <v>9.0811926542322136E-3</v>
      </c>
      <c r="G15" s="521">
        <f ca="1">+F15*(1+MdW)</f>
        <v>9.0811926542322136E-3</v>
      </c>
      <c r="H15" s="16"/>
      <c r="I15" s="15"/>
      <c r="J15" s="15"/>
      <c r="K15" s="15"/>
    </row>
    <row r="16" spans="1:11">
      <c r="B16" s="118" t="s">
        <v>19</v>
      </c>
      <c r="C16" s="512"/>
      <c r="D16" s="409"/>
      <c r="E16" s="409"/>
      <c r="F16" s="409"/>
      <c r="G16" s="376"/>
      <c r="H16" s="15"/>
      <c r="I16" s="15"/>
      <c r="J16" s="15"/>
      <c r="K16" s="15"/>
    </row>
    <row r="17" spans="2:11">
      <c r="B17" s="520" t="s">
        <v>27</v>
      </c>
      <c r="C17" s="512">
        <f ca="1">(Cd*R_1500*Asx*u/a_1500)/2</f>
        <v>1.0217023668300829E-7</v>
      </c>
      <c r="D17" s="513">
        <f>Xcm-Xcp</f>
        <v>-1.3075299999999996</v>
      </c>
      <c r="E17" s="513">
        <f>(D18*C19-D19*C18)*T_1500</f>
        <v>0</v>
      </c>
      <c r="F17" s="513">
        <f>+E17*NodW</f>
        <v>0</v>
      </c>
      <c r="G17" s="521">
        <f>+F17*(1+MdW)</f>
        <v>0</v>
      </c>
      <c r="H17" s="16"/>
      <c r="I17" s="15"/>
      <c r="K17" s="15"/>
    </row>
    <row r="18" spans="2:11">
      <c r="B18" s="520" t="s">
        <v>28</v>
      </c>
      <c r="C18" s="512">
        <v>0</v>
      </c>
      <c r="D18" s="513">
        <f>Ycm-Ycp</f>
        <v>-0.03</v>
      </c>
      <c r="E18" s="513">
        <f ca="1">(D19*C17-D17*C19)*T_1500</f>
        <v>-2.1330063302870227E-5</v>
      </c>
      <c r="F18" s="513">
        <f ca="1">+E18*NodW</f>
        <v>-6.3990189908610676E-5</v>
      </c>
      <c r="G18" s="521">
        <f ca="1">+F18*(1+MdW)</f>
        <v>-6.3990189908610676E-5</v>
      </c>
      <c r="H18" s="16"/>
      <c r="I18" s="15"/>
      <c r="J18" s="15"/>
      <c r="K18" s="15"/>
    </row>
    <row r="19" spans="2:11" ht="15.75" thickBot="1">
      <c r="B19" s="522" t="s">
        <v>29</v>
      </c>
      <c r="C19" s="523">
        <v>0</v>
      </c>
      <c r="D19" s="524">
        <f>Zcm-Zcp</f>
        <v>-0.03</v>
      </c>
      <c r="E19" s="524">
        <f ca="1">(D17*C18-D18*C17)*T_1500</f>
        <v>2.1330063302870227E-5</v>
      </c>
      <c r="F19" s="524">
        <f ca="1">+E19*NodW</f>
        <v>6.3990189908610676E-5</v>
      </c>
      <c r="G19" s="525">
        <f ca="1">+F19*(1+MdW)</f>
        <v>6.3990189908610676E-5</v>
      </c>
      <c r="H19" s="16"/>
    </row>
    <row r="20" spans="2:11">
      <c r="B20" s="116" t="s">
        <v>30</v>
      </c>
      <c r="C20" s="123"/>
      <c r="D20" s="123"/>
      <c r="E20" s="123"/>
      <c r="F20" s="123"/>
      <c r="G20" s="375"/>
      <c r="H20" s="15"/>
    </row>
    <row r="21" spans="2:11">
      <c r="B21" s="519" t="s">
        <v>145</v>
      </c>
      <c r="C21" s="115" t="s">
        <v>159</v>
      </c>
      <c r="D21" s="115">
        <f>Aps_y</f>
        <v>3.15</v>
      </c>
      <c r="E21" s="115" t="s">
        <v>171</v>
      </c>
      <c r="F21" s="511" t="s">
        <v>172</v>
      </c>
      <c r="G21" s="531">
        <f>Ycpy</f>
        <v>2.4624999999999999</v>
      </c>
      <c r="H21" s="26"/>
    </row>
    <row r="22" spans="2:11">
      <c r="B22" s="118" t="s">
        <v>5</v>
      </c>
      <c r="C22" s="409"/>
      <c r="D22" s="409"/>
      <c r="E22" s="409"/>
      <c r="F22" s="409"/>
      <c r="G22" s="376"/>
      <c r="H22" s="15"/>
      <c r="I22" s="15"/>
      <c r="J22" s="15"/>
      <c r="K22" s="15"/>
    </row>
    <row r="23" spans="2:11">
      <c r="B23" s="520" t="s">
        <v>27</v>
      </c>
      <c r="C23" s="512">
        <f ca="1">(Cd*R_400*(2*(Aps_y)/PI())*u/a_400)/2</f>
        <v>1.4741035569181828E-3</v>
      </c>
      <c r="D23" s="513">
        <f>Xcm-Xcpy</f>
        <v>1.2470000000000092E-2</v>
      </c>
      <c r="E23" s="513">
        <f>(D24*C25-D25*C24)*T_400+E9</f>
        <v>0</v>
      </c>
      <c r="F23" s="513">
        <f>+E23*NodW</f>
        <v>0</v>
      </c>
      <c r="G23" s="521">
        <f>+F23*(1+MdW)</f>
        <v>0</v>
      </c>
      <c r="H23" s="16"/>
      <c r="I23" s="15" t="s">
        <v>154</v>
      </c>
      <c r="J23" s="15"/>
      <c r="K23" s="15"/>
    </row>
    <row r="24" spans="2:11">
      <c r="B24" s="520" t="s">
        <v>28</v>
      </c>
      <c r="C24" s="512">
        <v>0</v>
      </c>
      <c r="D24" s="513">
        <f>Ycm-Ycpy</f>
        <v>-2.4924999999999997</v>
      </c>
      <c r="E24" s="513">
        <f ca="1">(D25*C23-D23*C25)*T_400+E10</f>
        <v>-0.35612926543394002</v>
      </c>
      <c r="F24" s="513">
        <f ca="1">+E24*NodW</f>
        <v>-1.06838779630182</v>
      </c>
      <c r="G24" s="521">
        <f ca="1">+F24*(1+MdW)</f>
        <v>-1.06838779630182</v>
      </c>
      <c r="H24" s="16"/>
      <c r="I24" s="15" t="s">
        <v>156</v>
      </c>
      <c r="J24" s="15"/>
      <c r="K24" s="15"/>
    </row>
    <row r="25" spans="2:11">
      <c r="B25" s="520" t="s">
        <v>29</v>
      </c>
      <c r="C25" s="512">
        <v>0</v>
      </c>
      <c r="D25" s="513">
        <f>Zcm-Zcpy</f>
        <v>-0.03</v>
      </c>
      <c r="E25" s="513">
        <f ca="1">(D23*C24-D24*C23)*T_400+E11</f>
        <v>20.515686259233473</v>
      </c>
      <c r="F25" s="530">
        <f ca="1">+E25*NodW</f>
        <v>61.547058777700414</v>
      </c>
      <c r="G25" s="532">
        <f ca="1">+F25*(1+MdW)</f>
        <v>61.547058777700414</v>
      </c>
      <c r="H25" s="16"/>
      <c r="I25" s="15"/>
      <c r="J25" s="15"/>
      <c r="K25" s="15"/>
    </row>
    <row r="26" spans="2:11">
      <c r="B26" s="118" t="s">
        <v>33</v>
      </c>
      <c r="C26" s="409"/>
      <c r="D26" s="409"/>
      <c r="E26" s="409"/>
      <c r="F26" s="409"/>
      <c r="G26" s="376"/>
      <c r="H26" s="15"/>
      <c r="I26" s="15"/>
      <c r="J26" s="15"/>
      <c r="K26" s="15"/>
    </row>
    <row r="27" spans="2:11">
      <c r="B27" s="520" t="s">
        <v>27</v>
      </c>
      <c r="C27" s="512">
        <f ca="1">(Cd*R_700*(2*(Aps_y)/PI())*u/a_700)/2</f>
        <v>3.7831553429595382E-5</v>
      </c>
      <c r="D27" s="513">
        <f>Xcm-Xcpy</f>
        <v>1.2470000000000092E-2</v>
      </c>
      <c r="E27" s="513">
        <f>(D28*C29-D29*C28)*T_700+E13</f>
        <v>0</v>
      </c>
      <c r="F27" s="513">
        <f>+E27*NodW</f>
        <v>0</v>
      </c>
      <c r="G27" s="521">
        <f>+F27*(1+MdW)</f>
        <v>0</v>
      </c>
      <c r="H27" s="16"/>
      <c r="I27" s="15"/>
      <c r="J27" s="15"/>
      <c r="K27" s="15"/>
    </row>
    <row r="28" spans="2:11">
      <c r="B28" s="520" t="s">
        <v>28</v>
      </c>
      <c r="C28" s="512">
        <v>0</v>
      </c>
      <c r="D28" s="513">
        <f>Ycm-Ycpy</f>
        <v>-2.4924999999999997</v>
      </c>
      <c r="E28" s="513">
        <f ca="1">(D29*C27-D27*C29)*T_700+E14</f>
        <v>-9.7531917974476405E-3</v>
      </c>
      <c r="F28" s="513">
        <f ca="1">+E28*NodW</f>
        <v>-2.9259575392342922E-2</v>
      </c>
      <c r="G28" s="521">
        <f ca="1">+F28*(1+MdW)</f>
        <v>-2.9259575392342922E-2</v>
      </c>
      <c r="H28" s="16"/>
      <c r="I28" s="15"/>
      <c r="J28" s="15"/>
      <c r="K28" s="15"/>
    </row>
    <row r="29" spans="2:11">
      <c r="B29" s="520" t="s">
        <v>29</v>
      </c>
      <c r="C29" s="512">
        <v>0</v>
      </c>
      <c r="D29" s="513">
        <f>Zcm-Zcpy</f>
        <v>-0.03</v>
      </c>
      <c r="E29" s="513">
        <f ca="1">(D27*C28-D28*C27)*T_700+E15</f>
        <v>0.5618561639374211</v>
      </c>
      <c r="F29" s="513">
        <f ca="1">+E29*NodW</f>
        <v>1.6855684918122633</v>
      </c>
      <c r="G29" s="521">
        <f ca="1">+F29*(1+MdW)</f>
        <v>1.6855684918122633</v>
      </c>
      <c r="H29" s="16"/>
      <c r="I29" s="15"/>
      <c r="J29" s="15"/>
      <c r="K29" s="15"/>
    </row>
    <row r="30" spans="2:11">
      <c r="B30" s="118" t="s">
        <v>19</v>
      </c>
      <c r="C30" s="409"/>
      <c r="D30" s="409"/>
      <c r="E30" s="409"/>
      <c r="F30" s="409"/>
      <c r="G30" s="376"/>
      <c r="H30" s="15"/>
      <c r="I30" s="15"/>
      <c r="J30" s="15"/>
      <c r="K30" s="15"/>
    </row>
    <row r="31" spans="2:11">
      <c r="B31" s="520" t="s">
        <v>27</v>
      </c>
      <c r="C31" s="512">
        <f ca="1">(Cd*R_1500*(2*(Aps_y)/PI())*u/a_1500)/2</f>
        <v>2.2702195831869002E-7</v>
      </c>
      <c r="D31" s="513">
        <f>Xcm-Xcpy</f>
        <v>1.2470000000000092E-2</v>
      </c>
      <c r="E31" s="513">
        <f>(D32*C33-D33*C32)*T_1500+E17</f>
        <v>0</v>
      </c>
      <c r="F31" s="513">
        <f>+E31*NodW</f>
        <v>0</v>
      </c>
      <c r="G31" s="521">
        <f>+F31*(1+MdW)</f>
        <v>0</v>
      </c>
      <c r="H31" s="16"/>
      <c r="I31" s="15"/>
      <c r="J31" s="15"/>
      <c r="K31" s="15"/>
    </row>
    <row r="32" spans="2:11">
      <c r="B32" s="520" t="s">
        <v>28</v>
      </c>
      <c r="C32" s="512">
        <v>0</v>
      </c>
      <c r="D32" s="513">
        <f>Ycm-Ycpy</f>
        <v>-2.4924999999999997</v>
      </c>
      <c r="E32" s="513">
        <f ca="1">(D33*C31-D31*C33)*T_1500+E18</f>
        <v>-6.8725399746135529E-5</v>
      </c>
      <c r="F32" s="513">
        <f ca="1">+E32*NodW</f>
        <v>-2.0617619923840659E-4</v>
      </c>
      <c r="G32" s="521">
        <f ca="1">+F32*(1+MdW)</f>
        <v>-2.0617619923840659E-4</v>
      </c>
      <c r="H32" s="16"/>
      <c r="I32" s="15"/>
      <c r="J32" s="15"/>
      <c r="K32" s="15"/>
    </row>
    <row r="33" spans="2:11" ht="15.75" thickBot="1">
      <c r="B33" s="526" t="s">
        <v>29</v>
      </c>
      <c r="C33" s="527">
        <v>0</v>
      </c>
      <c r="D33" s="528">
        <f>Zcm-Zcpy</f>
        <v>-0.03</v>
      </c>
      <c r="E33" s="528">
        <f ca="1">(D31*C32-D32*C31)*T_1500+E19</f>
        <v>3.9590925994641615E-3</v>
      </c>
      <c r="F33" s="528">
        <f ca="1">+E33*NodW</f>
        <v>1.1877277798392484E-2</v>
      </c>
      <c r="G33" s="529">
        <f ca="1">+F33*(1+MdW)</f>
        <v>1.1877277798392484E-2</v>
      </c>
      <c r="H33" s="16"/>
    </row>
    <row r="34" spans="2:11">
      <c r="B34" s="116" t="s">
        <v>31</v>
      </c>
      <c r="C34" s="123"/>
      <c r="D34" s="123"/>
      <c r="E34" s="123"/>
      <c r="F34" s="123"/>
      <c r="G34" s="375"/>
      <c r="H34" s="15"/>
    </row>
    <row r="35" spans="2:11">
      <c r="B35" s="519" t="s">
        <v>145</v>
      </c>
      <c r="C35" s="115" t="s">
        <v>160</v>
      </c>
      <c r="D35" s="115">
        <f>APS_my</f>
        <v>3.15</v>
      </c>
      <c r="E35" s="115" t="s">
        <v>171</v>
      </c>
      <c r="F35" s="511" t="s">
        <v>172</v>
      </c>
      <c r="G35" s="531">
        <f>Ycpmy</f>
        <v>-2.4624999999999999</v>
      </c>
      <c r="H35" s="26"/>
    </row>
    <row r="36" spans="2:11">
      <c r="B36" s="118" t="s">
        <v>5</v>
      </c>
      <c r="C36" s="409"/>
      <c r="D36" s="409"/>
      <c r="E36" s="409"/>
      <c r="F36" s="409"/>
      <c r="G36" s="376"/>
      <c r="H36" s="15"/>
      <c r="I36" s="15"/>
      <c r="J36" s="15"/>
      <c r="K36" s="15"/>
    </row>
    <row r="37" spans="2:11">
      <c r="B37" s="520" t="s">
        <v>27</v>
      </c>
      <c r="C37" s="512">
        <f ca="1">(Cd*R_400*(2*(APS_my)/PI())*u/a_400)/2</f>
        <v>1.4741035569181828E-3</v>
      </c>
      <c r="D37" s="513">
        <f>Xcm-Xcpmy</f>
        <v>1.2470000000000092E-2</v>
      </c>
      <c r="E37" s="513">
        <f>(D38*C39-D39*C38)*T_400+E23</f>
        <v>0</v>
      </c>
      <c r="F37" s="513">
        <f>+E37*NodW</f>
        <v>0</v>
      </c>
      <c r="G37" s="521">
        <f>+F37*(1+MdW)</f>
        <v>0</v>
      </c>
      <c r="H37" s="16"/>
      <c r="I37" s="15" t="s">
        <v>154</v>
      </c>
      <c r="J37" s="15"/>
      <c r="K37" s="15"/>
    </row>
    <row r="38" spans="2:11">
      <c r="B38" s="520" t="s">
        <v>28</v>
      </c>
      <c r="C38" s="512">
        <v>0</v>
      </c>
      <c r="D38" s="513">
        <f>Ycm-Ycpmy</f>
        <v>2.4325000000000001</v>
      </c>
      <c r="E38" s="513">
        <f ca="1">(D39*C37-D37*C39)*T_400+E24</f>
        <v>-0.60172792931779218</v>
      </c>
      <c r="F38" s="513">
        <f ca="1">+E38*NodW</f>
        <v>-1.8051837879533765</v>
      </c>
      <c r="G38" s="521">
        <f ca="1">+F38*(1+MdW)</f>
        <v>-1.8051837879533765</v>
      </c>
      <c r="H38" s="16"/>
      <c r="I38" s="15" t="s">
        <v>156</v>
      </c>
      <c r="J38" s="15"/>
      <c r="K38" s="15"/>
    </row>
    <row r="39" spans="2:11">
      <c r="B39" s="520" t="s">
        <v>29</v>
      </c>
      <c r="C39" s="512">
        <v>0</v>
      </c>
      <c r="D39" s="513">
        <f>Zcm-Zcpmy</f>
        <v>-0.03</v>
      </c>
      <c r="E39" s="513">
        <f ca="1">(D37*C38-D38*C37)*T_400+E25</f>
        <v>0.60172792931778929</v>
      </c>
      <c r="F39" s="513">
        <f ca="1">+E39*NodW</f>
        <v>1.8051837879533679</v>
      </c>
      <c r="G39" s="521">
        <f ca="1">+F39*(1+MdW)</f>
        <v>1.8051837879533679</v>
      </c>
      <c r="H39" s="16"/>
      <c r="I39" s="15"/>
      <c r="J39" s="15"/>
      <c r="K39" s="15"/>
    </row>
    <row r="40" spans="2:11">
      <c r="B40" s="118" t="s">
        <v>33</v>
      </c>
      <c r="C40" s="409"/>
      <c r="D40" s="409"/>
      <c r="E40" s="409"/>
      <c r="F40" s="409"/>
      <c r="G40" s="376"/>
      <c r="H40" s="15"/>
      <c r="I40" s="15"/>
      <c r="J40" s="15"/>
      <c r="K40" s="15"/>
    </row>
    <row r="41" spans="2:11">
      <c r="B41" s="520" t="s">
        <v>27</v>
      </c>
      <c r="C41" s="512">
        <f ca="1">(Cd*R_700*(2*(APS_my)/PI())*u/a_700)/2</f>
        <v>3.7831553429595382E-5</v>
      </c>
      <c r="D41" s="513">
        <f>Xcm-Xcpmy</f>
        <v>1.2470000000000092E-2</v>
      </c>
      <c r="E41" s="513">
        <f>(D42*C43-D43*C42)*T_700+E27</f>
        <v>0</v>
      </c>
      <c r="F41" s="513">
        <f>+E41*NodW</f>
        <v>0</v>
      </c>
      <c r="G41" s="521">
        <f>+F41*(1+MdW)</f>
        <v>0</v>
      </c>
      <c r="H41" s="16"/>
      <c r="I41" s="15"/>
      <c r="J41" s="15"/>
      <c r="K41" s="15"/>
    </row>
    <row r="42" spans="2:11">
      <c r="B42" s="520" t="s">
        <v>28</v>
      </c>
      <c r="C42" s="512">
        <v>0</v>
      </c>
      <c r="D42" s="513">
        <f>Ycm-Ycpmy</f>
        <v>2.4325000000000001</v>
      </c>
      <c r="E42" s="513">
        <f ca="1">(D43*C41-D41*C43)*T_700+E28</f>
        <v>-1.6479319376817875E-2</v>
      </c>
      <c r="F42" s="513">
        <f ca="1">+E42*NodW</f>
        <v>-4.9437958130453624E-2</v>
      </c>
      <c r="G42" s="521">
        <f ca="1">+F42*(1+MdW)</f>
        <v>-4.9437958130453624E-2</v>
      </c>
      <c r="H42" s="16"/>
      <c r="I42" s="15"/>
      <c r="J42" s="15"/>
      <c r="K42" s="15"/>
    </row>
    <row r="43" spans="2:11">
      <c r="B43" s="520" t="s">
        <v>29</v>
      </c>
      <c r="C43" s="512">
        <v>0</v>
      </c>
      <c r="D43" s="513">
        <f>Zcm-Zcpmy</f>
        <v>-0.03</v>
      </c>
      <c r="E43" s="513">
        <f ca="1">(D41*C42-D42*C41)*T_700+E29</f>
        <v>1.6479319376817902E-2</v>
      </c>
      <c r="F43" s="513">
        <f ca="1">+E43*NodW</f>
        <v>4.9437958130453707E-2</v>
      </c>
      <c r="G43" s="521">
        <f ca="1">+F43*(1+MdW)</f>
        <v>4.9437958130453707E-2</v>
      </c>
      <c r="H43" s="16"/>
      <c r="I43" s="15"/>
      <c r="J43" s="15"/>
      <c r="K43" s="15"/>
    </row>
    <row r="44" spans="2:11">
      <c r="B44" s="118" t="s">
        <v>19</v>
      </c>
      <c r="C44" s="409"/>
      <c r="D44" s="409"/>
      <c r="E44" s="409"/>
      <c r="F44" s="409"/>
      <c r="G44" s="376"/>
      <c r="H44" s="15"/>
      <c r="I44" s="15"/>
      <c r="J44" s="15"/>
      <c r="K44" s="15"/>
    </row>
    <row r="45" spans="2:11">
      <c r="B45" s="520" t="s">
        <v>27</v>
      </c>
      <c r="C45" s="512">
        <f ca="1">(Cd*R_1500*(2*(Aps_y)/PI())*u/a_1500)/2</f>
        <v>2.2702195831869002E-7</v>
      </c>
      <c r="D45" s="513">
        <f>Xcm-Xcpmy</f>
        <v>1.2470000000000092E-2</v>
      </c>
      <c r="E45" s="513">
        <f>(D46*C47-D47*C46)*T_1500+E31</f>
        <v>0</v>
      </c>
      <c r="F45" s="513">
        <f>+E45*NodW</f>
        <v>0</v>
      </c>
      <c r="G45" s="521">
        <f>+F45*(1+MdW)</f>
        <v>0</v>
      </c>
      <c r="H45" s="16"/>
      <c r="I45" s="15"/>
      <c r="J45" s="15"/>
      <c r="K45" s="15"/>
    </row>
    <row r="46" spans="2:11">
      <c r="B46" s="520" t="s">
        <v>28</v>
      </c>
      <c r="C46" s="512">
        <v>0</v>
      </c>
      <c r="D46" s="513">
        <f>Ycm-Ycpmy</f>
        <v>2.4325000000000001</v>
      </c>
      <c r="E46" s="513">
        <f ca="1">(D47*C45-D45*C47)*T_1500+E32</f>
        <v>-1.1612073618940083E-4</v>
      </c>
      <c r="F46" s="513">
        <f ca="1">+E46*NodW</f>
        <v>-3.4836220856820249E-4</v>
      </c>
      <c r="G46" s="521">
        <f ca="1">+F46*(1+MdW)</f>
        <v>-3.4836220856820249E-4</v>
      </c>
      <c r="H46" s="16"/>
      <c r="J46" s="15"/>
      <c r="K46" s="15"/>
    </row>
    <row r="47" spans="2:11">
      <c r="B47" s="520" t="s">
        <v>29</v>
      </c>
      <c r="C47" s="512">
        <v>0</v>
      </c>
      <c r="D47" s="513">
        <f>Zcm-Zcpmy</f>
        <v>-0.03</v>
      </c>
      <c r="E47" s="513">
        <f ca="1">(D45*C46-D46*C45)*T_1500+E33</f>
        <v>1.1612073618939931E-4</v>
      </c>
      <c r="F47" s="513">
        <f ca="1">+E47*NodW</f>
        <v>3.4836220856819793E-4</v>
      </c>
      <c r="G47" s="521">
        <f ca="1">+F47*(1+MdW)</f>
        <v>3.4836220856819793E-4</v>
      </c>
      <c r="H47" s="16"/>
      <c r="I47" s="15"/>
      <c r="J47" s="15"/>
      <c r="K47" s="15"/>
    </row>
    <row r="48" spans="2:11" ht="30">
      <c r="B48" s="533" t="s">
        <v>79</v>
      </c>
      <c r="C48" s="507" t="s">
        <v>87</v>
      </c>
      <c r="D48" s="508" t="s">
        <v>95</v>
      </c>
      <c r="E48" s="507" t="s">
        <v>96</v>
      </c>
      <c r="F48" s="509" t="s">
        <v>126</v>
      </c>
      <c r="G48" s="534" t="s">
        <v>125</v>
      </c>
      <c r="H48" s="16"/>
      <c r="I48" s="15"/>
      <c r="J48" s="15"/>
      <c r="K48" s="15"/>
    </row>
    <row r="49" spans="1:11" ht="15.75" thickBot="1">
      <c r="B49" s="119"/>
      <c r="C49" s="535" t="s">
        <v>86</v>
      </c>
      <c r="D49" s="535" t="s">
        <v>97</v>
      </c>
      <c r="E49" s="535" t="s">
        <v>94</v>
      </c>
      <c r="F49" s="535" t="s">
        <v>94</v>
      </c>
      <c r="G49" s="536" t="s">
        <v>94</v>
      </c>
      <c r="H49" s="16"/>
      <c r="I49" s="15"/>
      <c r="J49" s="15"/>
      <c r="K49" s="15"/>
    </row>
    <row r="50" spans="1:11">
      <c r="A50" s="5" t="s">
        <v>147</v>
      </c>
      <c r="G50" s="15"/>
      <c r="H50" s="15"/>
      <c r="I50" s="9" t="s">
        <v>157</v>
      </c>
      <c r="J50" s="9"/>
      <c r="K50" s="8"/>
    </row>
    <row r="51" spans="1:11" ht="15.75" thickBot="1">
      <c r="B51" s="538" t="s">
        <v>32</v>
      </c>
      <c r="C51" s="158"/>
      <c r="D51" s="158"/>
      <c r="E51" s="158"/>
      <c r="F51" s="158"/>
      <c r="G51" s="40"/>
      <c r="H51" s="19"/>
      <c r="I51" t="s">
        <v>158</v>
      </c>
    </row>
    <row r="52" spans="1:11" s="155" customFormat="1">
      <c r="B52" s="341" t="s">
        <v>23</v>
      </c>
      <c r="C52" s="123"/>
      <c r="D52" s="123"/>
      <c r="E52" s="123"/>
      <c r="F52" s="123"/>
      <c r="G52" s="375"/>
    </row>
    <row r="53" spans="1:11" s="155" customFormat="1">
      <c r="B53" s="118" t="s">
        <v>33</v>
      </c>
      <c r="C53" s="512"/>
      <c r="D53" s="409"/>
      <c r="E53" s="409"/>
      <c r="F53" s="409"/>
      <c r="G53" s="376"/>
      <c r="H53" s="15"/>
    </row>
    <row r="54" spans="1:11" s="155" customFormat="1">
      <c r="B54" s="520" t="s">
        <v>27</v>
      </c>
      <c r="C54" s="512">
        <f ca="1">(Cd*R_700*Asx*Aax_I0700Max*u/a_700)/2</f>
        <v>1.6055446993790919E-6</v>
      </c>
      <c r="D54" s="513">
        <f>Xcm-Xcp</f>
        <v>-1.3075299999999996</v>
      </c>
      <c r="E54" s="513">
        <f ca="1">(D55*C56-D56*C55)*T_700</f>
        <v>-4.2697378072659257E-4</v>
      </c>
      <c r="F54" s="513">
        <f ca="1">+E54*NodW</f>
        <v>-1.2809213421797778E-3</v>
      </c>
      <c r="G54" s="521">
        <f ca="1">+F54*(1+MdW)</f>
        <v>-1.2809213421797778E-3</v>
      </c>
      <c r="I54" s="15"/>
    </row>
    <row r="55" spans="1:11" s="155" customFormat="1">
      <c r="B55" s="520" t="s">
        <v>28</v>
      </c>
      <c r="C55" s="512">
        <f ca="1">(Cd*R_700*Asy*Aay_I0700Max*u/a_700)/2</f>
        <v>1.5785182841682456E-6</v>
      </c>
      <c r="D55" s="513">
        <f>Ycm-Ycp</f>
        <v>-0.03</v>
      </c>
      <c r="E55" s="513">
        <f ca="1">(D54*C56-D56*C54)*T_700</f>
        <v>-3.0555731730888814E-2</v>
      </c>
      <c r="F55" s="513">
        <f ca="1">+E55*NodW</f>
        <v>-9.1667195192666445E-2</v>
      </c>
      <c r="G55" s="521">
        <f ca="1">+F55*(1+MdW)</f>
        <v>-9.1667195192666445E-2</v>
      </c>
      <c r="I55" s="15" t="s">
        <v>847</v>
      </c>
    </row>
    <row r="56" spans="1:11" s="155" customFormat="1">
      <c r="B56" s="520" t="s">
        <v>29</v>
      </c>
      <c r="C56" s="512">
        <f ca="1">(Cd*R_700*Asz*Aaz_I0700Max*u/a_700)/2</f>
        <v>3.9800608074081691E-6</v>
      </c>
      <c r="D56" s="513">
        <f>Zcm-Zcp</f>
        <v>-0.03</v>
      </c>
      <c r="E56" s="513">
        <f ca="1">(D54*C55-D55*C54)*T_700</f>
        <v>-1.1946364147107428E-2</v>
      </c>
      <c r="F56" s="513">
        <f ca="1">+E56*NodW</f>
        <v>-3.5839092441322287E-2</v>
      </c>
      <c r="G56" s="521">
        <f ca="1">+F56*(1+MdW)</f>
        <v>-3.5839092441322287E-2</v>
      </c>
      <c r="H56" s="15"/>
    </row>
    <row r="57" spans="1:11" s="155" customFormat="1">
      <c r="B57" s="118" t="s">
        <v>19</v>
      </c>
      <c r="C57" s="512"/>
      <c r="D57" s="409"/>
      <c r="E57" s="409"/>
      <c r="F57" s="409"/>
      <c r="G57" s="376"/>
      <c r="H57" s="15"/>
    </row>
    <row r="58" spans="1:11" s="155" customFormat="1">
      <c r="B58" s="520" t="s">
        <v>27</v>
      </c>
      <c r="C58" s="512">
        <f ca="1">(Cd*R_1500*Asx*Aax_I01500Max*u/a_1500)/2</f>
        <v>1.083004508839888E-9</v>
      </c>
      <c r="D58" s="513">
        <f>Xcm-Xcp</f>
        <v>-1.3075299999999996</v>
      </c>
      <c r="E58" s="513">
        <f ca="1">(D59*C60-D60*C59)*T_1500</f>
        <v>-2.8182963588118162E-6</v>
      </c>
      <c r="F58" s="513">
        <f ca="1">+E58*NodW</f>
        <v>-8.4548890764354494E-6</v>
      </c>
      <c r="G58" s="521">
        <f ca="1">+F58*(1+MdW)</f>
        <v>-8.4548890764354494E-6</v>
      </c>
      <c r="H58" s="15"/>
    </row>
    <row r="59" spans="1:11" s="155" customFormat="1">
      <c r="B59" s="520" t="s">
        <v>28</v>
      </c>
      <c r="C59" s="512">
        <f ca="1">(Cd*R_1500*Asy*Aay_I01500Max*u/a_1500)/2</f>
        <v>1.0637534852964577E-9</v>
      </c>
      <c r="D59" s="513">
        <f>Ycm-Ycp</f>
        <v>-0.03</v>
      </c>
      <c r="E59" s="513">
        <f ca="1">(D58*C60-D60*C58)*T_1500</f>
        <v>-1.3228666223401758E-4</v>
      </c>
      <c r="F59" s="513">
        <f ca="1">+E59*NodW</f>
        <v>-3.9685998670205275E-4</v>
      </c>
      <c r="G59" s="521">
        <f ca="1">+F59*(1+MdW)</f>
        <v>-3.9685998670205275E-4</v>
      </c>
      <c r="H59" s="15"/>
    </row>
    <row r="60" spans="1:11" s="155" customFormat="1" ht="15.75" thickBot="1">
      <c r="B60" s="522" t="s">
        <v>29</v>
      </c>
      <c r="C60" s="523">
        <f ca="1">(Cd*R_1500*Asz*Aaz_I01500Max*u/a_1500)/2</f>
        <v>1.4563291762987223E-8</v>
      </c>
      <c r="D60" s="524">
        <f>Zcm-Zcp</f>
        <v>-0.03</v>
      </c>
      <c r="E60" s="524">
        <f ca="1">(D58*C59-D59*C58)*T_1500</f>
        <v>-9.4530942994437918E-6</v>
      </c>
      <c r="F60" s="524">
        <f ca="1">+E60*NodW</f>
        <v>-2.8359282898331375E-5</v>
      </c>
      <c r="G60" s="525">
        <f ca="1">+F60*(1+MdW)</f>
        <v>-2.8359282898331375E-5</v>
      </c>
    </row>
    <row r="61" spans="1:11">
      <c r="B61" s="416" t="s">
        <v>30</v>
      </c>
      <c r="C61" s="140"/>
      <c r="D61" s="140"/>
      <c r="E61" s="140"/>
      <c r="F61" s="140"/>
      <c r="G61" s="537"/>
      <c r="H61" s="15"/>
    </row>
    <row r="62" spans="1:11">
      <c r="B62" s="118" t="s">
        <v>33</v>
      </c>
      <c r="C62" s="409"/>
      <c r="D62" s="409"/>
      <c r="E62" s="409"/>
      <c r="F62" s="409"/>
      <c r="G62" s="376"/>
      <c r="H62" s="15"/>
    </row>
    <row r="63" spans="1:11">
      <c r="B63" s="520" t="s">
        <v>27</v>
      </c>
      <c r="C63" s="512">
        <f ca="1">(Cd*R_700*Aps_y*Aax_I0700Max*u/a_700)/2</f>
        <v>5.603840224979657E-6</v>
      </c>
      <c r="D63" s="513">
        <f>Xcm-Xcpy</f>
        <v>1.2470000000000092E-2</v>
      </c>
      <c r="E63" s="513">
        <f ca="1">(D64*C65-D65*C64)*T_700+E54</f>
        <v>-4.2697378072659257E-4</v>
      </c>
      <c r="F63" s="513">
        <f ca="1">+E63*NodW</f>
        <v>-1.2809213421797778E-3</v>
      </c>
      <c r="G63" s="521">
        <f ca="1">+F63*(1+MdW)</f>
        <v>-1.2809213421797778E-3</v>
      </c>
      <c r="H63" s="15"/>
    </row>
    <row r="64" spans="1:11">
      <c r="B64" s="520" t="s">
        <v>28</v>
      </c>
      <c r="C64" s="512">
        <v>0</v>
      </c>
      <c r="D64" s="513">
        <f>Ycm-Ycpy</f>
        <v>-2.4924999999999997</v>
      </c>
      <c r="E64" s="513">
        <f ca="1">(D65*C63-D63*C65)*T_700+E55</f>
        <v>-3.1552046734388869E-2</v>
      </c>
      <c r="F64" s="513">
        <f ca="1">+E64*NodW</f>
        <v>-9.4656140203166608E-2</v>
      </c>
      <c r="G64" s="521">
        <f ca="1">+F64*(1+MdW)</f>
        <v>-9.4656140203166608E-2</v>
      </c>
      <c r="H64" s="15"/>
      <c r="I64" s="15" t="s">
        <v>155</v>
      </c>
    </row>
    <row r="65" spans="2:11">
      <c r="B65" s="520" t="s">
        <v>29</v>
      </c>
      <c r="C65" s="512">
        <v>0</v>
      </c>
      <c r="D65" s="513">
        <f>Zcm-Zcpy</f>
        <v>-0.03</v>
      </c>
      <c r="E65" s="513">
        <f ca="1">(D63*C64-D64*C63)*T_700+E56</f>
        <v>7.0830807393689091E-2</v>
      </c>
      <c r="F65" s="513">
        <f ca="1">+E65*NodW</f>
        <v>0.21249242218106729</v>
      </c>
      <c r="G65" s="521">
        <f ca="1">+F65*(1+MdW)</f>
        <v>0.21249242218106729</v>
      </c>
      <c r="H65" s="15"/>
    </row>
    <row r="66" spans="2:11">
      <c r="B66" s="118" t="s">
        <v>19</v>
      </c>
      <c r="C66" s="409"/>
      <c r="D66" s="409"/>
      <c r="E66" s="409"/>
      <c r="F66" s="409"/>
      <c r="G66" s="376"/>
      <c r="H66" s="15"/>
    </row>
    <row r="67" spans="2:11">
      <c r="B67" s="520" t="s">
        <v>27</v>
      </c>
      <c r="C67" s="512">
        <f ca="1">(Cd*R_1500*Aps_y*Aax_I01500Max*u/a_1500)/2</f>
        <v>3.7800157372250928E-9</v>
      </c>
      <c r="D67" s="513">
        <f>Xcm-Xcpy</f>
        <v>1.2470000000000092E-2</v>
      </c>
      <c r="E67" s="513">
        <f ca="1">(D68*C69-D69*C68)*T_1500+E58</f>
        <v>-2.8182963588118162E-6</v>
      </c>
      <c r="F67" s="513">
        <f ca="1">+E67*NodW</f>
        <v>-8.4548890764354494E-6</v>
      </c>
      <c r="G67" s="521">
        <f ca="1">+F67*(1+MdW)</f>
        <v>-8.4548890764354494E-6</v>
      </c>
      <c r="H67" s="15"/>
    </row>
    <row r="68" spans="2:11">
      <c r="B68" s="520" t="s">
        <v>28</v>
      </c>
      <c r="C68" s="512">
        <v>0</v>
      </c>
      <c r="D68" s="513">
        <f>Ycm-Ycpy</f>
        <v>-2.4924999999999997</v>
      </c>
      <c r="E68" s="513">
        <f ca="1">(D69*C67-D67*C69)*T_1500+E59</f>
        <v>-1.3307581549017584E-4</v>
      </c>
      <c r="F68" s="513">
        <f ca="1">+E68*NodW</f>
        <v>-3.9922744647052753E-4</v>
      </c>
      <c r="G68" s="521">
        <f ca="1">+F68*(1+MdW)</f>
        <v>-3.9922744647052753E-4</v>
      </c>
      <c r="H68" s="15"/>
      <c r="I68" s="15" t="s">
        <v>155</v>
      </c>
      <c r="J68" s="15"/>
      <c r="K68" s="15"/>
    </row>
    <row r="69" spans="2:11" ht="15.75" thickBot="1">
      <c r="B69" s="522" t="s">
        <v>29</v>
      </c>
      <c r="C69" s="523">
        <v>0</v>
      </c>
      <c r="D69" s="524">
        <f>Zcm-Zcpy</f>
        <v>-0.03</v>
      </c>
      <c r="E69" s="524">
        <f ca="1">(D67*C68-D68*C67)*T_1500+E60</f>
        <v>5.6112388733038957E-5</v>
      </c>
      <c r="F69" s="524">
        <f ca="1">+E69*NodW</f>
        <v>1.6833716619911687E-4</v>
      </c>
      <c r="G69" s="525">
        <f ca="1">+F69*(1+MdW)</f>
        <v>1.6833716619911687E-4</v>
      </c>
      <c r="H69" s="15"/>
      <c r="I69" s="15"/>
      <c r="J69" s="15"/>
      <c r="K69" s="15"/>
    </row>
    <row r="70" spans="2:11" ht="15.75" thickBot="1">
      <c r="G70" s="15"/>
      <c r="H70" s="15"/>
    </row>
    <row r="71" spans="2:11">
      <c r="B71" s="341" t="s">
        <v>31</v>
      </c>
      <c r="C71" s="123"/>
      <c r="D71" s="123"/>
      <c r="E71" s="123"/>
      <c r="F71" s="123"/>
      <c r="G71" s="375"/>
      <c r="H71" s="15"/>
    </row>
    <row r="72" spans="2:11">
      <c r="B72" s="118" t="s">
        <v>33</v>
      </c>
      <c r="C72" s="409"/>
      <c r="D72" s="409"/>
      <c r="E72" s="409"/>
      <c r="F72" s="409"/>
      <c r="G72" s="376"/>
      <c r="H72" s="15"/>
    </row>
    <row r="73" spans="2:11">
      <c r="B73" s="520" t="s">
        <v>27</v>
      </c>
      <c r="C73" s="512">
        <f ca="1">(Cd*R_700*APS_my*Aax_I0700Max*u/a_700)/2</f>
        <v>5.603840224979657E-6</v>
      </c>
      <c r="D73" s="513">
        <f>Xcm-Xcpy</f>
        <v>1.2470000000000092E-2</v>
      </c>
      <c r="E73" s="513">
        <f ca="1">(D74*C75-D75*C74)*T_700+E63</f>
        <v>-4.2697378072659257E-4</v>
      </c>
      <c r="F73" s="513">
        <f ca="1">+E73*NodW</f>
        <v>-1.2809213421797778E-3</v>
      </c>
      <c r="G73" s="521">
        <f ca="1">+F73*(1+MdW)</f>
        <v>-1.2809213421797778E-3</v>
      </c>
      <c r="H73" s="15"/>
    </row>
    <row r="74" spans="2:11">
      <c r="B74" s="520" t="s">
        <v>28</v>
      </c>
      <c r="C74" s="512">
        <v>0</v>
      </c>
      <c r="D74" s="513">
        <f>Ycm-Ycpy</f>
        <v>-2.4924999999999997</v>
      </c>
      <c r="E74" s="513">
        <f ca="1">(D75*C73-D73*C75)*T_700+E64</f>
        <v>-3.2548361737888928E-2</v>
      </c>
      <c r="F74" s="513">
        <f ca="1">+E74*NodW</f>
        <v>-9.7645085213666785E-2</v>
      </c>
      <c r="G74" s="521">
        <f ca="1">+F74*(1+MdW)</f>
        <v>-9.7645085213666785E-2</v>
      </c>
      <c r="H74" s="15"/>
      <c r="I74" s="15" t="s">
        <v>155</v>
      </c>
    </row>
    <row r="75" spans="2:11">
      <c r="B75" s="520" t="s">
        <v>29</v>
      </c>
      <c r="C75" s="512">
        <v>0</v>
      </c>
      <c r="D75" s="513">
        <f>Zcm-Zcpy</f>
        <v>-0.03</v>
      </c>
      <c r="E75" s="513">
        <f ca="1">(D73*C74-D74*C73)*T_700+E65</f>
        <v>0.15360797893448561</v>
      </c>
      <c r="F75" s="513">
        <f ca="1">+E75*NodW</f>
        <v>0.46082393680345679</v>
      </c>
      <c r="G75" s="521">
        <f ca="1">+F75*(1+MdW)</f>
        <v>0.46082393680345679</v>
      </c>
      <c r="H75" s="15"/>
    </row>
    <row r="76" spans="2:11">
      <c r="B76" s="118" t="s">
        <v>19</v>
      </c>
      <c r="C76" s="409"/>
      <c r="D76" s="409"/>
      <c r="E76" s="409"/>
      <c r="F76" s="409"/>
      <c r="G76" s="376"/>
      <c r="H76" s="15"/>
    </row>
    <row r="77" spans="2:11">
      <c r="B77" s="520" t="s">
        <v>27</v>
      </c>
      <c r="C77" s="512">
        <f ca="1">(Cd*R_1500*APS_my*Aax_I01500Max*u/a_1500)/2</f>
        <v>3.7800157372250928E-9</v>
      </c>
      <c r="D77" s="513">
        <f>Xcm-Xcpy</f>
        <v>1.2470000000000092E-2</v>
      </c>
      <c r="E77" s="513">
        <f ca="1">(D78*C79-D79*C78)*T_1500+E67</f>
        <v>-2.8182963588118162E-6</v>
      </c>
      <c r="F77" s="513">
        <f ca="1">+E77*NodW</f>
        <v>-8.4548890764354494E-6</v>
      </c>
      <c r="G77" s="521">
        <f ca="1">+F77*(1+MdW)</f>
        <v>-8.4548890764354494E-6</v>
      </c>
      <c r="H77" s="15"/>
    </row>
    <row r="78" spans="2:11">
      <c r="B78" s="520" t="s">
        <v>28</v>
      </c>
      <c r="C78" s="512">
        <v>0</v>
      </c>
      <c r="D78" s="513">
        <f>Ycm-Ycpy</f>
        <v>-2.4924999999999997</v>
      </c>
      <c r="E78" s="513">
        <f ca="1">(D79*C77-D77*C79)*T_1500+E68</f>
        <v>-1.3386496874633411E-4</v>
      </c>
      <c r="F78" s="513">
        <f ca="1">+E78*NodW</f>
        <v>-4.0159490623900232E-4</v>
      </c>
      <c r="G78" s="521">
        <f ca="1">+F78*(1+MdW)</f>
        <v>-4.0159490623900232E-4</v>
      </c>
      <c r="H78" s="15"/>
      <c r="I78" s="15" t="s">
        <v>155</v>
      </c>
      <c r="J78" s="15"/>
      <c r="K78" s="15"/>
    </row>
    <row r="79" spans="2:11" ht="15.75" thickBot="1">
      <c r="B79" s="522" t="s">
        <v>29</v>
      </c>
      <c r="C79" s="523">
        <v>0</v>
      </c>
      <c r="D79" s="524">
        <f>Zcm-Zcpy</f>
        <v>-0.03</v>
      </c>
      <c r="E79" s="524">
        <f ca="1">(D77*C78-D78*C77)*T_1500+E69</f>
        <v>1.216778717655217E-4</v>
      </c>
      <c r="F79" s="524">
        <f ca="1">+E79*NodW</f>
        <v>3.6503361529656512E-4</v>
      </c>
      <c r="G79" s="525">
        <f ca="1">+F79*(1+MdW)</f>
        <v>3.6503361529656512E-4</v>
      </c>
      <c r="H79" s="15"/>
      <c r="I79" s="15"/>
      <c r="J79" s="15"/>
      <c r="K79" s="15"/>
    </row>
    <row r="80" spans="2:11">
      <c r="G80" s="15"/>
      <c r="H80" s="15"/>
    </row>
    <row r="81" spans="2:9" ht="15.75" thickBot="1">
      <c r="B81" s="5" t="s">
        <v>50</v>
      </c>
      <c r="G81" s="15"/>
      <c r="H81" s="15"/>
    </row>
    <row r="82" spans="2:9" s="155" customFormat="1">
      <c r="B82" s="341" t="s">
        <v>23</v>
      </c>
      <c r="C82" s="123"/>
      <c r="D82" s="123"/>
      <c r="E82" s="123"/>
      <c r="F82" s="123"/>
      <c r="G82" s="375"/>
      <c r="H82" s="15"/>
    </row>
    <row r="83" spans="2:9" s="155" customFormat="1">
      <c r="B83" s="118" t="s">
        <v>33</v>
      </c>
      <c r="C83" s="512"/>
      <c r="D83" s="409"/>
      <c r="E83" s="409"/>
      <c r="F83" s="409"/>
      <c r="G83" s="376"/>
      <c r="H83" s="15"/>
    </row>
    <row r="84" spans="2:9" s="155" customFormat="1">
      <c r="B84" s="520" t="s">
        <v>27</v>
      </c>
      <c r="C84" s="512">
        <f ca="1">(Cd*R_700*Asx*Aax_I12700Max*u/a_700)/2</f>
        <v>1.6038421069089126E-6</v>
      </c>
      <c r="D84" s="513">
        <f>Xcm-Xcp</f>
        <v>-1.3075299999999996</v>
      </c>
      <c r="E84" s="513">
        <f ca="1">(D85*C86-D86*C85)*T_700</f>
        <v>-3.0015731509778056E-4</v>
      </c>
      <c r="F84" s="513">
        <f ca="1">+E84*NodW</f>
        <v>-9.0047194529334167E-4</v>
      </c>
      <c r="G84" s="521">
        <f ca="1">+F84*(1+MdW)</f>
        <v>-9.0047194529334167E-4</v>
      </c>
      <c r="H84" s="15"/>
    </row>
    <row r="85" spans="2:9" s="155" customFormat="1">
      <c r="B85" s="520" t="s">
        <v>28</v>
      </c>
      <c r="C85" s="512">
        <f ca="1">(Cd*R_700*Asy*Aay_I12700Max*u/a_700)/2</f>
        <v>2.2875853209069224E-6</v>
      </c>
      <c r="D85" s="513">
        <f>Ycm-Ycp</f>
        <v>-0.03</v>
      </c>
      <c r="E85" s="513">
        <f ca="1">(D84*C86-D86*C84)*T_700</f>
        <v>-3.0523329046126473E-2</v>
      </c>
      <c r="F85" s="513">
        <f ca="1">+E85*NodW</f>
        <v>-9.1569987138379411E-2</v>
      </c>
      <c r="G85" s="521">
        <f ca="1">+F85*(1+MdW)</f>
        <v>-9.1569987138379411E-2</v>
      </c>
      <c r="H85" s="15"/>
      <c r="I85" s="15" t="s">
        <v>847</v>
      </c>
    </row>
    <row r="86" spans="2:9" s="155" customFormat="1">
      <c r="B86" s="520" t="s">
        <v>29</v>
      </c>
      <c r="C86" s="512">
        <f ca="1">(Cd*R_700*Asz*Aaz_I12700Max*u/a_700)/2</f>
        <v>3.975840170284725E-6</v>
      </c>
      <c r="D86" s="513">
        <f>Zcm-Zcp</f>
        <v>-0.03</v>
      </c>
      <c r="E86" s="513">
        <f ca="1">(D84*C85-D85*C84)*T_700</f>
        <v>-1.7441172572466447E-2</v>
      </c>
      <c r="F86" s="513">
        <f ca="1">+E86*NodW</f>
        <v>-5.2323517717399341E-2</v>
      </c>
      <c r="G86" s="521">
        <f ca="1">+F86*(1+MdW)</f>
        <v>-5.2323517717399341E-2</v>
      </c>
      <c r="H86" s="15"/>
    </row>
    <row r="87" spans="2:9" s="155" customFormat="1">
      <c r="B87" s="118" t="s">
        <v>19</v>
      </c>
      <c r="C87" s="512"/>
      <c r="D87" s="409"/>
      <c r="E87" s="409"/>
      <c r="F87" s="409"/>
      <c r="G87" s="376"/>
      <c r="H87" s="15"/>
    </row>
    <row r="88" spans="2:9" s="155" customFormat="1">
      <c r="B88" s="520" t="s">
        <v>27</v>
      </c>
      <c r="C88" s="512">
        <f ca="1">(Cd*R_1500*Asx*Aax_I121500Max*u/a_1500)/2</f>
        <v>1.0727874851715871E-9</v>
      </c>
      <c r="D88" s="513">
        <f>Xcm-Xcp</f>
        <v>-1.3075299999999996</v>
      </c>
      <c r="E88" s="513">
        <f ca="1">(D89*C90-D90*C89)*T_1500</f>
        <v>-2.7442698128017496E-6</v>
      </c>
      <c r="F88" s="513">
        <f ca="1">+E88*NodW</f>
        <v>-8.2328094384052493E-6</v>
      </c>
      <c r="G88" s="521">
        <f ca="1">+F88*(1+MdW)</f>
        <v>-8.2328094384052493E-6</v>
      </c>
      <c r="H88" s="15"/>
    </row>
    <row r="89" spans="2:9" s="155" customFormat="1">
      <c r="B89" s="520" t="s">
        <v>28</v>
      </c>
      <c r="C89" s="512">
        <f ca="1">(Cd*R_1500*Asy*Aay_I121500Max*u/a_1500)/2</f>
        <v>1.4689929082665372E-9</v>
      </c>
      <c r="D89" s="513">
        <f>Ycm-Ycp</f>
        <v>-0.03</v>
      </c>
      <c r="E89" s="513">
        <f ca="1">(D88*C90-D90*C88)*T_1500</f>
        <v>-1.3274970919132186E-4</v>
      </c>
      <c r="F89" s="513">
        <f ca="1">+E89*NodW</f>
        <v>-3.9824912757396559E-4</v>
      </c>
      <c r="G89" s="521">
        <f ca="1">+F89*(1+MdW)</f>
        <v>-3.9824912757396559E-4</v>
      </c>
      <c r="H89" s="15"/>
    </row>
    <row r="90" spans="2:9" s="155" customFormat="1" ht="15.75" thickBot="1">
      <c r="B90" s="522" t="s">
        <v>29</v>
      </c>
      <c r="C90" s="523">
        <f ca="1">(Cd*R_1500*Asz*Aaz_I121500Max*u/a_1500)/2</f>
        <v>1.4613946690858482E-8</v>
      </c>
      <c r="D90" s="524">
        <f>Zcm-Zcp</f>
        <v>-0.03</v>
      </c>
      <c r="E90" s="524">
        <f ca="1">(D88*C89-D89*C88)*T_1500</f>
        <v>-1.3142538913566163E-5</v>
      </c>
      <c r="F90" s="524">
        <f ca="1">+E90*NodW</f>
        <v>-3.942761674069849E-5</v>
      </c>
      <c r="G90" s="525">
        <f ca="1">+F90*(1+MdW)</f>
        <v>-3.942761674069849E-5</v>
      </c>
      <c r="H90" s="15"/>
    </row>
    <row r="91" spans="2:9">
      <c r="B91" s="341" t="s">
        <v>30</v>
      </c>
      <c r="C91" s="123"/>
      <c r="D91" s="123"/>
      <c r="E91" s="123"/>
      <c r="F91" s="123"/>
      <c r="G91" s="375"/>
      <c r="H91" s="15"/>
    </row>
    <row r="92" spans="2:9">
      <c r="B92" s="118" t="s">
        <v>33</v>
      </c>
      <c r="C92" s="409"/>
      <c r="D92" s="409"/>
      <c r="E92" s="409"/>
      <c r="F92" s="409"/>
      <c r="G92" s="376"/>
      <c r="H92" s="15"/>
    </row>
    <row r="93" spans="2:9">
      <c r="B93" s="520" t="s">
        <v>27</v>
      </c>
      <c r="C93" s="512">
        <f ca="1">(Cd*R_700*Aps_y*Aax_I12700Max*u/a_700)/2</f>
        <v>5.5978976584632415E-6</v>
      </c>
      <c r="D93" s="513">
        <f>Xcm-Xcpy</f>
        <v>1.2470000000000092E-2</v>
      </c>
      <c r="E93" s="513">
        <f ca="1">(D94*C95-D95*C94)*T_700+E84</f>
        <v>-3.0015731509778056E-4</v>
      </c>
      <c r="F93" s="513">
        <f ca="1">+E93*NodW</f>
        <v>-9.0047194529334167E-4</v>
      </c>
      <c r="G93" s="521">
        <f ca="1">+F93*(1+MdW)</f>
        <v>-9.0047194529334167E-4</v>
      </c>
      <c r="H93" s="15"/>
    </row>
    <row r="94" spans="2:9">
      <c r="B94" s="520" t="s">
        <v>28</v>
      </c>
      <c r="C94" s="512">
        <v>0</v>
      </c>
      <c r="D94" s="513">
        <f>Ycm-Ycpy</f>
        <v>-2.4924999999999997</v>
      </c>
      <c r="E94" s="513">
        <f ca="1">(D95*C93-D93*C95)*T_700+E85</f>
        <v>-3.151858751197701E-2</v>
      </c>
      <c r="F94" s="513">
        <f ca="1">+E94*NodW</f>
        <v>-9.4555762535931037E-2</v>
      </c>
      <c r="G94" s="521">
        <f ca="1">+F94*(1+MdW)</f>
        <v>-9.4555762535931037E-2</v>
      </c>
      <c r="H94" s="15"/>
    </row>
    <row r="95" spans="2:9">
      <c r="B95" s="520" t="s">
        <v>29</v>
      </c>
      <c r="C95" s="512">
        <v>0</v>
      </c>
      <c r="D95" s="513">
        <f>Zcm-Zcpy</f>
        <v>-0.03</v>
      </c>
      <c r="E95" s="513">
        <f ca="1">(D93*C94-D94*C93)*T_700+E86</f>
        <v>6.5248218298615546E-2</v>
      </c>
      <c r="F95" s="513">
        <f ca="1">+E95*NodW</f>
        <v>0.19574465489584664</v>
      </c>
      <c r="G95" s="521">
        <f ca="1">+F95*(1+MdW)</f>
        <v>0.19574465489584664</v>
      </c>
      <c r="H95" s="15"/>
    </row>
    <row r="96" spans="2:9">
      <c r="B96" s="118" t="s">
        <v>19</v>
      </c>
      <c r="C96" s="409"/>
      <c r="D96" s="409"/>
      <c r="E96" s="409"/>
      <c r="F96" s="409"/>
      <c r="G96" s="376"/>
      <c r="H96" s="15"/>
    </row>
    <row r="97" spans="2:11">
      <c r="B97" s="520" t="s">
        <v>27</v>
      </c>
      <c r="C97" s="512">
        <f ca="1">(Cd*R_1500*Aps_y*Aax_I121500Max*u/a_1500)/2</f>
        <v>3.7443552114022159E-9</v>
      </c>
      <c r="D97" s="513">
        <f>Xcm-Xcpy</f>
        <v>1.2470000000000092E-2</v>
      </c>
      <c r="E97" s="513">
        <f ca="1">(D98*C99-D99*C98)*T_1500+E88</f>
        <v>-2.7442698128017496E-6</v>
      </c>
      <c r="F97" s="513">
        <f ca="1">+E97*NodW</f>
        <v>-8.2328094384052493E-6</v>
      </c>
      <c r="G97" s="521">
        <f ca="1">+F97*(1+MdW)</f>
        <v>-8.2328094384052493E-6</v>
      </c>
      <c r="H97" s="15"/>
      <c r="K97" s="15"/>
    </row>
    <row r="98" spans="2:11">
      <c r="B98" s="520" t="s">
        <v>28</v>
      </c>
      <c r="C98" s="512">
        <v>0</v>
      </c>
      <c r="D98" s="513">
        <f>Ycm-Ycpy</f>
        <v>-2.4924999999999997</v>
      </c>
      <c r="E98" s="513">
        <f ca="1">(D99*C97-D97*C99)*T_1500+E89</f>
        <v>-1.3353141760544092E-4</v>
      </c>
      <c r="F98" s="513">
        <f ca="1">+E98*NodW</f>
        <v>-4.0059425281632277E-4</v>
      </c>
      <c r="G98" s="521">
        <f ca="1">+F98*(1+MdW)</f>
        <v>-4.0059425281632277E-4</v>
      </c>
      <c r="H98" s="15"/>
      <c r="I98" s="15"/>
      <c r="J98" s="15"/>
      <c r="K98" s="15"/>
    </row>
    <row r="99" spans="2:11" ht="15.75" thickBot="1">
      <c r="B99" s="522" t="s">
        <v>29</v>
      </c>
      <c r="C99" s="523">
        <v>0</v>
      </c>
      <c r="D99" s="524">
        <f>Zcm-Zcpy</f>
        <v>-0.03</v>
      </c>
      <c r="E99" s="524">
        <f ca="1">(D97*C98-D98*C97)*T_1500+E90</f>
        <v>5.1804401826157344E-5</v>
      </c>
      <c r="F99" s="524">
        <f ca="1">+E99*NodW</f>
        <v>1.5541320547847204E-4</v>
      </c>
      <c r="G99" s="525">
        <f ca="1">+F99*(1+MdW)</f>
        <v>1.5541320547847204E-4</v>
      </c>
      <c r="H99" s="15"/>
      <c r="I99" s="15"/>
      <c r="J99" s="15"/>
    </row>
    <row r="100" spans="2:11" ht="15.75" thickBot="1">
      <c r="G100" s="15"/>
      <c r="H100" s="15"/>
    </row>
    <row r="101" spans="2:11">
      <c r="B101" s="341" t="s">
        <v>31</v>
      </c>
      <c r="C101" s="123"/>
      <c r="D101" s="123"/>
      <c r="E101" s="123"/>
      <c r="F101" s="123"/>
      <c r="G101" s="375"/>
      <c r="H101" s="15"/>
      <c r="K101" s="15"/>
    </row>
    <row r="102" spans="2:11">
      <c r="B102" s="118" t="s">
        <v>33</v>
      </c>
      <c r="C102" s="409"/>
      <c r="D102" s="409"/>
      <c r="E102" s="409"/>
      <c r="F102" s="409"/>
      <c r="G102" s="376"/>
      <c r="H102" s="15"/>
      <c r="K102" s="15"/>
    </row>
    <row r="103" spans="2:11">
      <c r="B103" s="520" t="s">
        <v>27</v>
      </c>
      <c r="C103" s="512">
        <f ca="1">(Cd*R_700*APS_my*Aax_I12700Max*u/a_700)/2</f>
        <v>5.5978976584632415E-6</v>
      </c>
      <c r="D103" s="513">
        <f>Xcm-Xcpy</f>
        <v>1.2470000000000092E-2</v>
      </c>
      <c r="E103" s="513">
        <f ca="1">(D104*C105-D105*C104)*T_700+E93</f>
        <v>-3.0015731509778056E-4</v>
      </c>
      <c r="F103" s="513">
        <f ca="1">+E103*NodW</f>
        <v>-9.0047194529334167E-4</v>
      </c>
      <c r="G103" s="521">
        <f ca="1">+F103*(1+MdW)</f>
        <v>-9.0047194529334167E-4</v>
      </c>
      <c r="H103" s="15"/>
    </row>
    <row r="104" spans="2:11">
      <c r="B104" s="520" t="s">
        <v>28</v>
      </c>
      <c r="C104" s="512">
        <v>0</v>
      </c>
      <c r="D104" s="513">
        <f>Ycm-Ycpy</f>
        <v>-2.4924999999999997</v>
      </c>
      <c r="E104" s="513">
        <f ca="1">(D105*C103-D103*C105)*T_700+E94</f>
        <v>-3.2513845977827548E-2</v>
      </c>
      <c r="F104" s="513">
        <f ca="1">+E104*NodW</f>
        <v>-9.7541537933482636E-2</v>
      </c>
      <c r="G104" s="521">
        <f ca="1">+F104*(1+MdW)</f>
        <v>-9.7541537933482636E-2</v>
      </c>
      <c r="H104" s="15"/>
    </row>
    <row r="105" spans="2:11">
      <c r="B105" s="520" t="s">
        <v>29</v>
      </c>
      <c r="C105" s="512">
        <v>0</v>
      </c>
      <c r="D105" s="513">
        <f>Zcm-Zcpy</f>
        <v>-0.03</v>
      </c>
      <c r="E105" s="513">
        <f ca="1">(D103*C104-D104*C103)*T_700+E95</f>
        <v>0.14793760916969756</v>
      </c>
      <c r="F105" s="513">
        <f ca="1">+E105*NodW</f>
        <v>0.44381282750909268</v>
      </c>
      <c r="G105" s="521">
        <f ca="1">+F105*(1+MdW)</f>
        <v>0.44381282750909268</v>
      </c>
      <c r="H105" s="15"/>
      <c r="K105" s="15"/>
    </row>
    <row r="106" spans="2:11">
      <c r="B106" s="118" t="s">
        <v>19</v>
      </c>
      <c r="C106" s="409"/>
      <c r="D106" s="409"/>
      <c r="E106" s="409"/>
      <c r="F106" s="409"/>
      <c r="G106" s="376"/>
      <c r="H106" s="15"/>
      <c r="K106" s="15"/>
    </row>
    <row r="107" spans="2:11">
      <c r="B107" s="520" t="s">
        <v>27</v>
      </c>
      <c r="C107" s="512">
        <f ca="1">(Cd*R_1500*APS_my*Aax_I121500Max*u/a_1500)/2</f>
        <v>3.7443552114022159E-9</v>
      </c>
      <c r="D107" s="513">
        <f>Xcm-Xcpy</f>
        <v>1.2470000000000092E-2</v>
      </c>
      <c r="E107" s="513">
        <f ca="1">(D108*C109-D109*C108)*T_1500+E97</f>
        <v>-2.7442698128017496E-6</v>
      </c>
      <c r="F107" s="513">
        <f ca="1">+E107*NodW</f>
        <v>-8.2328094384052493E-6</v>
      </c>
      <c r="G107" s="521">
        <f ca="1">+F107*(1+MdW)</f>
        <v>-8.2328094384052493E-6</v>
      </c>
      <c r="H107" s="15"/>
      <c r="K107" s="12"/>
    </row>
    <row r="108" spans="2:11">
      <c r="B108" s="520" t="s">
        <v>28</v>
      </c>
      <c r="C108" s="512">
        <v>0</v>
      </c>
      <c r="D108" s="513">
        <f>Ycm-Ycpy</f>
        <v>-2.4924999999999997</v>
      </c>
      <c r="E108" s="513">
        <f ca="1">(D109*C107-D107*C109)*T_1500+E98</f>
        <v>-1.3431312601955997E-4</v>
      </c>
      <c r="F108" s="513">
        <f ca="1">+E108*NodW</f>
        <v>-4.029393780586799E-4</v>
      </c>
      <c r="G108" s="521">
        <f ca="1">+F108*(1+MdW)</f>
        <v>-4.029393780586799E-4</v>
      </c>
      <c r="H108" s="15"/>
      <c r="I108" s="15"/>
      <c r="J108" s="15"/>
      <c r="K108" s="14"/>
    </row>
    <row r="109" spans="2:11" ht="15.75" thickBot="1">
      <c r="B109" s="522" t="s">
        <v>29</v>
      </c>
      <c r="C109" s="523">
        <v>0</v>
      </c>
      <c r="D109" s="524">
        <f>Zcm-Zcpy</f>
        <v>-0.03</v>
      </c>
      <c r="E109" s="524">
        <f ca="1">(D107*C108-D108*C107)*T_1500+E99</f>
        <v>1.1675134256588085E-4</v>
      </c>
      <c r="F109" s="524">
        <f ca="1">+E109*NodW</f>
        <v>3.5025402769764256E-4</v>
      </c>
      <c r="G109" s="525">
        <f ca="1">+F109*(1+MdW)</f>
        <v>3.5025402769764256E-4</v>
      </c>
      <c r="H109" s="15"/>
      <c r="I109" s="15"/>
      <c r="J109" s="15"/>
      <c r="K109" s="98"/>
    </row>
    <row r="110" spans="2:11">
      <c r="B110" s="4"/>
      <c r="C110" s="17"/>
      <c r="D110" s="16"/>
      <c r="E110" s="16"/>
      <c r="F110" s="16"/>
      <c r="G110" s="15"/>
      <c r="H110" s="15"/>
      <c r="I110" s="15"/>
      <c r="J110" s="15"/>
      <c r="K110" s="98"/>
    </row>
    <row r="111" spans="2:11" ht="15.75" thickBot="1">
      <c r="B111" s="5" t="s">
        <v>63</v>
      </c>
      <c r="G111" s="15"/>
      <c r="H111" s="15"/>
    </row>
    <row r="112" spans="2:11" s="155" customFormat="1">
      <c r="B112" s="341" t="s">
        <v>23</v>
      </c>
      <c r="C112" s="123"/>
      <c r="D112" s="123"/>
      <c r="E112" s="123"/>
      <c r="F112" s="123"/>
      <c r="G112" s="375"/>
      <c r="H112" s="15"/>
    </row>
    <row r="113" spans="2:11" s="155" customFormat="1">
      <c r="B113" s="118" t="s">
        <v>33</v>
      </c>
      <c r="C113" s="512"/>
      <c r="D113" s="409"/>
      <c r="E113" s="409"/>
      <c r="F113" s="409"/>
      <c r="G113" s="376"/>
      <c r="H113" s="15"/>
    </row>
    <row r="114" spans="2:11" s="155" customFormat="1">
      <c r="B114" s="520" t="s">
        <v>27</v>
      </c>
      <c r="C114" s="512">
        <f ca="1">(Cd*R_700*Asx*Aax_I25700Max*u/a_700)/2</f>
        <v>1.5953291445580163E-6</v>
      </c>
      <c r="D114" s="513">
        <f>Xcm-Xcp</f>
        <v>-1.3075299999999996</v>
      </c>
      <c r="E114" s="513">
        <f ca="1">(D115*C116-D116*C115)*T_700</f>
        <v>-1.9735343467679059E-4</v>
      </c>
      <c r="F114" s="513">
        <f ca="1">+E114*NodW</f>
        <v>-5.9206030403037178E-4</v>
      </c>
      <c r="G114" s="521">
        <f ca="1">+F114*(1+MdW)</f>
        <v>-5.9206030403037178E-4</v>
      </c>
      <c r="H114" s="15"/>
    </row>
    <row r="115" spans="2:11" s="155" customFormat="1">
      <c r="B115" s="520" t="s">
        <v>28</v>
      </c>
      <c r="C115" s="512">
        <f ca="1">(Cd*R_700*Asy*Aay_I25700Max*u/a_700)/2</f>
        <v>2.8447094212015979E-6</v>
      </c>
      <c r="D115" s="513">
        <f>Ycm-Ycp</f>
        <v>-0.03</v>
      </c>
      <c r="E115" s="513">
        <f ca="1">(D114*C116-D116*C114)*T_700</f>
        <v>-3.0361315622314766E-2</v>
      </c>
      <c r="F115" s="513">
        <f ca="1">+E115*NodW</f>
        <v>-9.1083946866944293E-2</v>
      </c>
      <c r="G115" s="521">
        <f ca="1">+F115*(1+MdW)</f>
        <v>-9.1083946866944293E-2</v>
      </c>
      <c r="H115" s="15"/>
      <c r="I115" s="15" t="s">
        <v>847</v>
      </c>
    </row>
    <row r="116" spans="2:11" s="155" customFormat="1">
      <c r="B116" s="520" t="s">
        <v>29</v>
      </c>
      <c r="C116" s="512">
        <f ca="1">(Cd*R_700*Asz*Aaz_I25700Max*u/a_700)/2</f>
        <v>3.9547369846675025E-6</v>
      </c>
      <c r="D116" s="513">
        <f>Zcm-Zcp</f>
        <v>-0.03</v>
      </c>
      <c r="E116" s="513">
        <f ca="1">(D114*C115-D115*C114)*T_700</f>
        <v>-2.17597977408833E-2</v>
      </c>
      <c r="F116" s="513">
        <f ca="1">+E116*NodW</f>
        <v>-6.5279393222649904E-2</v>
      </c>
      <c r="G116" s="521">
        <f ca="1">+F116*(1+MdW)</f>
        <v>-6.5279393222649904E-2</v>
      </c>
      <c r="H116" s="15"/>
    </row>
    <row r="117" spans="2:11" s="155" customFormat="1">
      <c r="B117" s="118" t="s">
        <v>19</v>
      </c>
      <c r="C117" s="512"/>
      <c r="D117" s="409"/>
      <c r="E117" s="409"/>
      <c r="F117" s="409"/>
      <c r="G117" s="376"/>
      <c r="H117" s="15"/>
    </row>
    <row r="118" spans="2:11" s="155" customFormat="1">
      <c r="B118" s="520" t="s">
        <v>27</v>
      </c>
      <c r="C118" s="512">
        <f ca="1">(Cd*R_1500*Asx*Aax_I251500Max*u/a_1500)/2</f>
        <v>1.0217023668300829E-9</v>
      </c>
      <c r="D118" s="513">
        <f>Xcm-Xcp</f>
        <v>-1.3075299999999996</v>
      </c>
      <c r="E118" s="513">
        <f ca="1">(D119*C120-D120*C119)*T_1500</f>
        <v>-2.7336945919431684E-6</v>
      </c>
      <c r="F118" s="513">
        <f ca="1">+E118*NodW</f>
        <v>-8.2010837758295047E-6</v>
      </c>
      <c r="G118" s="521">
        <f ca="1">+F118*(1+MdW)</f>
        <v>-8.2010837758295047E-6</v>
      </c>
      <c r="H118" s="15"/>
    </row>
    <row r="119" spans="2:11" s="155" customFormat="1">
      <c r="B119" s="520" t="s">
        <v>28</v>
      </c>
      <c r="C119" s="512">
        <f ca="1">(Cd*R_1500*Asy*Aay_I251500Max*u/a_1500)/2</f>
        <v>1.6969400836872067E-9</v>
      </c>
      <c r="D119" s="513">
        <f>Ycm-Ycp</f>
        <v>-0.03</v>
      </c>
      <c r="E119" s="513">
        <f ca="1">(D118*C120-D120*C118)*T_1500</f>
        <v>-1.3437357305138233E-4</v>
      </c>
      <c r="F119" s="513">
        <f ca="1">+E119*NodW</f>
        <v>-4.0312071915414702E-4</v>
      </c>
      <c r="G119" s="521">
        <f ca="1">+F119*(1+MdW)</f>
        <v>-4.0312071915414702E-4</v>
      </c>
      <c r="H119" s="15"/>
    </row>
    <row r="120" spans="2:11" s="155" customFormat="1" ht="15.75" thickBot="1">
      <c r="B120" s="526" t="s">
        <v>29</v>
      </c>
      <c r="C120" s="527">
        <f ca="1">(Cd*R_1500*Asz*Aaz_I251500Max*u/a_1500)/2</f>
        <v>1.479123893840789E-8</v>
      </c>
      <c r="D120" s="528">
        <f>Zcm-Zcp</f>
        <v>-0.03</v>
      </c>
      <c r="E120" s="528">
        <f ca="1">(D118*C119-D119*C118)*T_1500</f>
        <v>-1.5227316724600646E-5</v>
      </c>
      <c r="F120" s="528">
        <f ca="1">+E120*NodW</f>
        <v>-4.5681950173801942E-5</v>
      </c>
      <c r="G120" s="529">
        <f ca="1">+F120*(1+MdW)</f>
        <v>-4.5681950173801942E-5</v>
      </c>
      <c r="H120" s="15"/>
    </row>
    <row r="121" spans="2:11">
      <c r="B121" s="341" t="s">
        <v>30</v>
      </c>
      <c r="C121" s="123"/>
      <c r="D121" s="123"/>
      <c r="E121" s="123"/>
      <c r="F121" s="123"/>
      <c r="G121" s="375"/>
      <c r="H121" s="15"/>
    </row>
    <row r="122" spans="2:11">
      <c r="B122" s="118" t="s">
        <v>33</v>
      </c>
      <c r="C122" s="409"/>
      <c r="D122" s="409"/>
      <c r="E122" s="409"/>
      <c r="F122" s="409"/>
      <c r="G122" s="376"/>
      <c r="H122" s="15"/>
    </row>
    <row r="123" spans="2:11">
      <c r="B123" s="520" t="s">
        <v>27</v>
      </c>
      <c r="C123" s="512">
        <f ca="1">(Cd*R_700*Aps_y*Aax_I25700Max*u/a_700)/2</f>
        <v>5.5681848258811648E-6</v>
      </c>
      <c r="D123" s="513">
        <f>Xcm-Xcpy</f>
        <v>1.2470000000000092E-2</v>
      </c>
      <c r="E123" s="513">
        <f ca="1">(D124*C125-D125*C124)*T_700+E114</f>
        <v>-1.9735343467679059E-4</v>
      </c>
      <c r="F123" s="513">
        <f ca="1">+E123*NodW</f>
        <v>-5.9206030403037178E-4</v>
      </c>
      <c r="G123" s="521">
        <f ca="1">+F123*(1+MdW)</f>
        <v>-5.9206030403037178E-4</v>
      </c>
      <c r="H123" s="15"/>
    </row>
    <row r="124" spans="2:11">
      <c r="B124" s="520" t="s">
        <v>28</v>
      </c>
      <c r="C124" s="512">
        <v>0</v>
      </c>
      <c r="D124" s="513">
        <f>Ycm-Ycpy</f>
        <v>-2.4924999999999997</v>
      </c>
      <c r="E124" s="513">
        <f ca="1">(D125*C123-D123*C125)*T_700+E115</f>
        <v>-3.1351291399917686E-2</v>
      </c>
      <c r="F124" s="513">
        <f ca="1">+E124*NodW</f>
        <v>-9.4053874199753057E-2</v>
      </c>
      <c r="G124" s="521">
        <f ca="1">+F124*(1+MdW)</f>
        <v>-9.4053874199753057E-2</v>
      </c>
      <c r="H124" s="15"/>
    </row>
    <row r="125" spans="2:11">
      <c r="B125" s="520" t="s">
        <v>29</v>
      </c>
      <c r="C125" s="512">
        <v>0</v>
      </c>
      <c r="D125" s="513">
        <f>Zcm-Zcpy</f>
        <v>-0.03</v>
      </c>
      <c r="E125" s="513">
        <f ca="1">(D123*C124-D124*C123)*T_700+E116</f>
        <v>6.049068978162607E-2</v>
      </c>
      <c r="F125" s="513">
        <f ca="1">+E125*NodW</f>
        <v>0.1814720693448782</v>
      </c>
      <c r="G125" s="521">
        <f ca="1">+F125*(1+MdW)</f>
        <v>0.1814720693448782</v>
      </c>
      <c r="H125" s="15"/>
    </row>
    <row r="126" spans="2:11">
      <c r="B126" s="118" t="s">
        <v>19</v>
      </c>
      <c r="C126" s="409"/>
      <c r="D126" s="409"/>
      <c r="E126" s="409"/>
      <c r="F126" s="409"/>
      <c r="G126" s="376"/>
      <c r="H126" s="15"/>
    </row>
    <row r="127" spans="2:11">
      <c r="B127" s="520" t="s">
        <v>27</v>
      </c>
      <c r="C127" s="512">
        <f ca="1">(Cd*R_1500*Aps_y*Aax_I251500Max*u/a_1500)/2</f>
        <v>3.5660525822878236E-9</v>
      </c>
      <c r="D127" s="513">
        <f>Xcm-Xcpy</f>
        <v>1.2470000000000092E-2</v>
      </c>
      <c r="E127" s="513">
        <f ca="1">(D128*C129-D129*C128)*T_1500+E118</f>
        <v>-2.7336945919431684E-6</v>
      </c>
      <c r="F127" s="513">
        <f ca="1">+E127*NodW</f>
        <v>-8.2010837758295047E-6</v>
      </c>
      <c r="G127" s="521">
        <f ca="1">+F127*(1+MdW)</f>
        <v>-8.2010837758295047E-6</v>
      </c>
      <c r="H127" s="15"/>
      <c r="K127" s="15"/>
    </row>
    <row r="128" spans="2:11">
      <c r="B128" s="520" t="s">
        <v>28</v>
      </c>
      <c r="C128" s="512">
        <v>0</v>
      </c>
      <c r="D128" s="513">
        <f>Ycm-Ycpy</f>
        <v>-2.4924999999999997</v>
      </c>
      <c r="E128" s="513">
        <f ca="1">(D129*C127-D127*C129)*T_1500+E119</f>
        <v>-1.3511805725530522E-4</v>
      </c>
      <c r="F128" s="513">
        <f ca="1">+E128*NodW</f>
        <v>-4.0535417176591564E-4</v>
      </c>
      <c r="G128" s="521">
        <f ca="1">+F128*(1+MdW)</f>
        <v>-4.0535417176591564E-4</v>
      </c>
      <c r="H128" s="15"/>
      <c r="I128" s="15"/>
      <c r="J128" s="15"/>
      <c r="K128" s="15"/>
    </row>
    <row r="129" spans="1:11" ht="15.75" thickBot="1">
      <c r="B129" s="522" t="s">
        <v>29</v>
      </c>
      <c r="C129" s="523">
        <v>0</v>
      </c>
      <c r="D129" s="524">
        <f>Zcm-Zcpy</f>
        <v>-0.03</v>
      </c>
      <c r="E129" s="524">
        <f ca="1">(D127*C128-D128*C127)*T_1500+E120</f>
        <v>4.662691255132648E-5</v>
      </c>
      <c r="F129" s="524">
        <f ca="1">+E129*NodW</f>
        <v>1.3988073765397945E-4</v>
      </c>
      <c r="G129" s="525">
        <f ca="1">+F129*(1+MdW)</f>
        <v>1.3988073765397945E-4</v>
      </c>
      <c r="H129" s="15"/>
      <c r="I129" s="15"/>
      <c r="J129" s="15"/>
    </row>
    <row r="130" spans="1:11" ht="15.75" thickBot="1">
      <c r="G130" s="15"/>
      <c r="H130" s="15"/>
    </row>
    <row r="131" spans="1:11">
      <c r="B131" s="341" t="s">
        <v>31</v>
      </c>
      <c r="C131" s="123"/>
      <c r="D131" s="123"/>
      <c r="E131" s="123"/>
      <c r="F131" s="123"/>
      <c r="G131" s="375"/>
      <c r="H131" s="15"/>
      <c r="K131" s="15"/>
    </row>
    <row r="132" spans="1:11">
      <c r="B132" s="118" t="s">
        <v>33</v>
      </c>
      <c r="C132" s="409"/>
      <c r="D132" s="409"/>
      <c r="E132" s="409"/>
      <c r="F132" s="409"/>
      <c r="G132" s="376"/>
      <c r="H132" s="15"/>
      <c r="K132" s="15"/>
    </row>
    <row r="133" spans="1:11">
      <c r="B133" s="520" t="s">
        <v>27</v>
      </c>
      <c r="C133" s="512">
        <f ca="1">(Cd*R_700*APS_my*Aax_I25700Max*u/a_700)/2</f>
        <v>5.5681848258811648E-6</v>
      </c>
      <c r="D133" s="513">
        <f>Xcm-Xcpy</f>
        <v>1.2470000000000092E-2</v>
      </c>
      <c r="E133" s="513">
        <f ca="1">(D134*C135-D135*C134)*T_700+E123</f>
        <v>-1.9735343467679059E-4</v>
      </c>
      <c r="F133" s="513">
        <f ca="1">+E133*NodW</f>
        <v>-5.9206030403037178E-4</v>
      </c>
      <c r="G133" s="521">
        <f ca="1">+F133*(1+MdW)</f>
        <v>-5.9206030403037178E-4</v>
      </c>
      <c r="H133" s="15"/>
    </row>
    <row r="134" spans="1:11">
      <c r="B134" s="520" t="s">
        <v>28</v>
      </c>
      <c r="C134" s="512">
        <v>0</v>
      </c>
      <c r="D134" s="513">
        <f>Ycm-Ycpy</f>
        <v>-2.4924999999999997</v>
      </c>
      <c r="E134" s="513">
        <f ca="1">(D135*C133-D133*C135)*T_700+E124</f>
        <v>-3.2341267177520609E-2</v>
      </c>
      <c r="F134" s="513">
        <f ca="1">+E134*NodW</f>
        <v>-9.7023801532561821E-2</v>
      </c>
      <c r="G134" s="521">
        <f ca="1">+F134*(1+MdW)</f>
        <v>-9.7023801532561821E-2</v>
      </c>
      <c r="H134" s="15"/>
    </row>
    <row r="135" spans="1:11">
      <c r="B135" s="520" t="s">
        <v>29</v>
      </c>
      <c r="C135" s="512">
        <v>0</v>
      </c>
      <c r="D135" s="513">
        <f>Zcm-Zcpy</f>
        <v>-0.03</v>
      </c>
      <c r="E135" s="513">
        <f ca="1">(D133*C134-D134*C133)*T_700+E125</f>
        <v>0.14274117730413544</v>
      </c>
      <c r="F135" s="513">
        <f ca="1">+E135*NodW</f>
        <v>0.42822353191240631</v>
      </c>
      <c r="G135" s="521">
        <f ca="1">+F135*(1+MdW)</f>
        <v>0.42822353191240631</v>
      </c>
      <c r="H135" s="15"/>
      <c r="K135" s="15"/>
    </row>
    <row r="136" spans="1:11">
      <c r="B136" s="118" t="s">
        <v>19</v>
      </c>
      <c r="C136" s="409"/>
      <c r="D136" s="409"/>
      <c r="E136" s="409"/>
      <c r="F136" s="409"/>
      <c r="G136" s="376"/>
      <c r="H136" s="15"/>
      <c r="K136" s="15"/>
    </row>
    <row r="137" spans="1:11">
      <c r="B137" s="520" t="s">
        <v>27</v>
      </c>
      <c r="C137" s="512">
        <f ca="1">(Cd*R_1500*APS_my*Aax_I251500Max*u/a_1500)/2</f>
        <v>3.5660525822878236E-9</v>
      </c>
      <c r="D137" s="513">
        <f>Xcm-Xcpy</f>
        <v>1.2470000000000092E-2</v>
      </c>
      <c r="E137" s="513">
        <f ca="1">(D138*C139-D139*C138)*T_1500+E127</f>
        <v>-2.7336945919431684E-6</v>
      </c>
      <c r="F137" s="513">
        <f ca="1">+E137*NodW</f>
        <v>-8.2010837758295047E-6</v>
      </c>
      <c r="G137" s="521">
        <f ca="1">+F137*(1+MdW)</f>
        <v>-8.2010837758295047E-6</v>
      </c>
      <c r="H137" s="15"/>
      <c r="K137" s="12"/>
    </row>
    <row r="138" spans="1:11">
      <c r="B138" s="520" t="s">
        <v>28</v>
      </c>
      <c r="C138" s="512">
        <v>0</v>
      </c>
      <c r="D138" s="513">
        <f>Ycm-Ycpy</f>
        <v>-2.4924999999999997</v>
      </c>
      <c r="E138" s="513">
        <f ca="1">(D139*C137-D137*C139)*T_1500+E128</f>
        <v>-1.3586254145922812E-4</v>
      </c>
      <c r="F138" s="513">
        <f ca="1">+E138*NodW</f>
        <v>-4.0758762437768437E-4</v>
      </c>
      <c r="G138" s="521">
        <f ca="1">+F138*(1+MdW)</f>
        <v>-4.0758762437768437E-4</v>
      </c>
      <c r="H138" s="15"/>
      <c r="I138" s="15"/>
      <c r="J138" s="15"/>
      <c r="K138" s="14"/>
    </row>
    <row r="139" spans="1:11" ht="15.75" thickBot="1">
      <c r="B139" s="522" t="s">
        <v>29</v>
      </c>
      <c r="C139" s="523">
        <v>0</v>
      </c>
      <c r="D139" s="524">
        <f>Zcm-Zcpy</f>
        <v>-0.03</v>
      </c>
      <c r="E139" s="524">
        <f ca="1">(D137*C138-D138*C137)*T_1500+E129</f>
        <v>1.084811418272536E-4</v>
      </c>
      <c r="F139" s="524">
        <f ca="1">+E139*NodW</f>
        <v>3.2544342548176079E-4</v>
      </c>
      <c r="G139" s="525">
        <f ca="1">+F139*(1+MdW)</f>
        <v>3.2544342548176079E-4</v>
      </c>
      <c r="H139" s="15"/>
      <c r="I139" s="15"/>
      <c r="J139" s="15"/>
      <c r="K139" s="98"/>
    </row>
    <row r="140" spans="1:11" ht="15.75" thickBot="1">
      <c r="B140" s="4"/>
      <c r="C140" s="17"/>
      <c r="D140" s="16"/>
      <c r="E140" s="16"/>
      <c r="F140" s="16"/>
      <c r="G140" s="16"/>
      <c r="H140" s="15"/>
      <c r="I140" s="15"/>
      <c r="J140" s="15"/>
      <c r="K140" s="98"/>
    </row>
    <row r="141" spans="1:11" ht="15" customHeight="1" thickBot="1">
      <c r="A141" s="624" t="s">
        <v>653</v>
      </c>
      <c r="B141" s="625"/>
      <c r="C141" s="625"/>
      <c r="D141" s="625"/>
      <c r="E141" s="625"/>
      <c r="F141" s="625"/>
      <c r="G141" s="625"/>
      <c r="H141" s="625"/>
      <c r="I141" s="626"/>
    </row>
    <row r="142" spans="1:11" ht="15" customHeight="1">
      <c r="A142" s="105"/>
      <c r="B142" s="106"/>
      <c r="C142" s="106"/>
      <c r="D142" s="106"/>
      <c r="E142" s="632" t="s">
        <v>528</v>
      </c>
      <c r="F142" s="633"/>
      <c r="G142" s="634"/>
      <c r="H142" s="627" t="str">
        <f>NomPlat</f>
        <v>PMM</v>
      </c>
      <c r="I142" s="628"/>
    </row>
    <row r="143" spans="1:11" ht="15" customHeight="1">
      <c r="A143" s="247" t="s">
        <v>816</v>
      </c>
      <c r="B143" s="247" t="s">
        <v>502</v>
      </c>
      <c r="C143" s="247" t="s">
        <v>796</v>
      </c>
      <c r="D143" s="251" t="s">
        <v>797</v>
      </c>
      <c r="E143" s="252">
        <v>400</v>
      </c>
      <c r="F143" s="247">
        <v>700</v>
      </c>
      <c r="G143" s="253">
        <v>1500</v>
      </c>
      <c r="H143" s="257">
        <f>Orbbaix</f>
        <v>600</v>
      </c>
      <c r="I143" s="258">
        <f>Orbalta</f>
        <v>1200</v>
      </c>
      <c r="J143" s="96"/>
    </row>
    <row r="144" spans="1:11" ht="15" customHeight="1" thickBot="1">
      <c r="A144" s="105"/>
      <c r="B144" s="106"/>
      <c r="C144" s="106"/>
      <c r="D144" s="106"/>
      <c r="E144" s="254" t="s">
        <v>65</v>
      </c>
      <c r="F144" s="255" t="s">
        <v>65</v>
      </c>
      <c r="G144" s="256" t="s">
        <v>65</v>
      </c>
      <c r="H144" s="259" t="s">
        <v>65</v>
      </c>
      <c r="I144" s="260" t="s">
        <v>65</v>
      </c>
      <c r="J144" s="95"/>
    </row>
    <row r="145" spans="1:10" ht="15" customHeight="1">
      <c r="A145" s="629" t="s">
        <v>463</v>
      </c>
      <c r="B145" s="631">
        <v>0</v>
      </c>
      <c r="C145" s="631" t="s">
        <v>464</v>
      </c>
      <c r="D145" s="261">
        <v>1</v>
      </c>
      <c r="E145" s="265" t="str">
        <f>IF(AsaRot2=1,"NA",(+OcEQU0400*ApNadir*MAX(ABS($G23),ABS(G24),ABS(G25))*Capac_Esp!$F$15))</f>
        <v>NA</v>
      </c>
      <c r="F145" s="266" t="str">
        <f>IF(AsaRot2=1,"NA",(+OcEQU0700*ApNadir*MAX(ABS($G27),ABS(G28),ABS(G29))*Capac_Esp!$F$15))</f>
        <v>NA</v>
      </c>
      <c r="G145" s="267" t="str">
        <f>IF(AsaRot2=1,"NA",(+OcEQU01500*ApNadir*MAX(ABS($G31),ABS(G32),ABS(G33))*Capac_Esp!$F$15))</f>
        <v>NA</v>
      </c>
      <c r="H145" s="272" t="str">
        <f>IF(AsaRot2=1,"NA",(((E145/EXP(-0.006*E$143)+F145/EXP(-0.006*F$143)+G145/EXP(-0.006*G$143))/3)*EXP(-0.006*H$143)))</f>
        <v>NA</v>
      </c>
      <c r="I145" s="273" t="str">
        <f>IF(AsaRot2=1,"NA",(((E145/EXP(-0.006*E$143)+F145/EXP(-0.006*F$143)+G145/EXP(-0.006*G$143))/3)*EXP(-0.006*I$143)))</f>
        <v>NA</v>
      </c>
      <c r="J145" s="15"/>
    </row>
    <row r="146" spans="1:10" ht="15" customHeight="1">
      <c r="A146" s="630"/>
      <c r="B146" s="623"/>
      <c r="C146" s="623"/>
      <c r="D146" s="262">
        <v>2</v>
      </c>
      <c r="E146" s="280">
        <f ca="1">(+OcEQU0400*ApNadir*MAX(ABS(G37),ABS(G38),ABS(G39))*Capac_Esp!$F$15)</f>
        <v>0.72959511429782298</v>
      </c>
      <c r="F146" s="281">
        <f ca="1">(+OcEQU0700*ApNadir*MAX(ABS(G41),ABS(G42),ABS(G43))*Capac_Esp!$F$15)</f>
        <v>1.9981174744391705E-2</v>
      </c>
      <c r="G146" s="282">
        <f ca="1">(+OcEQU01500*ApNadir*MAX(ABS(G45),ABS(G46),ABS(G47))*Capac_Esp!$F$15)</f>
        <v>1.4079639262964849E-4</v>
      </c>
      <c r="H146" s="274">
        <f ca="1">(((E146/EXP(-0.006*E$143)+F146/EXP(-0.006*F$143)+G146/EXP(-0.006*G$143))/3)*EXP(-0.006*H$143))</f>
        <v>9.5777041442726002E-2</v>
      </c>
      <c r="I146" s="275">
        <f ca="1">(((E146/EXP(-0.006*E$143)+F146/EXP(-0.006*F$143)+G146/EXP(-0.006*G$143))/3)*EXP(-0.006*I$143))</f>
        <v>2.6169852972038822E-3</v>
      </c>
      <c r="J146" s="15"/>
    </row>
    <row r="147" spans="1:10" ht="15" customHeight="1">
      <c r="A147" s="622" t="s">
        <v>499</v>
      </c>
      <c r="B147" s="623">
        <v>12</v>
      </c>
      <c r="C147" s="623" t="s">
        <v>464</v>
      </c>
      <c r="D147" s="263">
        <v>1</v>
      </c>
      <c r="E147" s="269" t="str">
        <f>IF(AsaRot2=1,"NA",(+OcEQU12400*ApNadir*MAX(ABS($G23),ABS(G24),ABS(G25))*Capac_Esp!$F$15))</f>
        <v>NA</v>
      </c>
      <c r="F147" s="250" t="str">
        <f>IF(AsaRot2=1,"NA",(+OcEQU12700*ApNadir*MAX(ABS($G27),ABS(G28),ABS(G29))*Capac_Esp!$F$15))</f>
        <v>NA</v>
      </c>
      <c r="G147" s="270" t="str">
        <f>IF(AsaRot2=1,"NA",(+OcEQU121500*ApNadir*MAX(ABS($G31),ABS(G32),ABS(G33))*Capac_Esp!$F$15))</f>
        <v>NA</v>
      </c>
      <c r="H147" s="276" t="str">
        <f>IF(AsaRot2=1,"NA",(((E147/EXP(-0.006*E$143)+F147/EXP(-0.006*F$143)+G147/EXP(-0.006*G$143))/3)*EXP(-0.006*H$143)))</f>
        <v>NA</v>
      </c>
      <c r="I147" s="277" t="str">
        <f>IF(AsaRot2=1,"NA",(((E147/EXP(-0.006*E$143)+F147/EXP(-0.006*F$143)+G147/EXP(-0.006*G$143))/3)*EXP(-0.006*I$143)))</f>
        <v>NA</v>
      </c>
      <c r="J147" s="15"/>
    </row>
    <row r="148" spans="1:10" ht="15" customHeight="1">
      <c r="A148" s="622"/>
      <c r="B148" s="623"/>
      <c r="C148" s="623"/>
      <c r="D148" s="262">
        <v>2</v>
      </c>
      <c r="E148" s="280">
        <f ca="1">(+OcEQU12400*ApNadir*MAX(ABS(G37),ABS(G38),ABS(G39))*Capac_Esp!$F$15)</f>
        <v>0.72959511429782298</v>
      </c>
      <c r="F148" s="281">
        <f ca="1">(+OcEQU12700*ApNadir*MAX(ABS(G41),ABS(G42),ABS(G43))*Capac_Esp!$F$15)</f>
        <v>1.9981174744391705E-2</v>
      </c>
      <c r="G148" s="282">
        <f ca="1">(+OcEQU121500*ApNadir*MAX(ABS(G45),ABS(G46),ABS(G47))*Capac_Esp!$F$15)</f>
        <v>1.4079639262964849E-4</v>
      </c>
      <c r="H148" s="274">
        <f ca="1">(((E148/EXP(-0.006*E$143)+F148/EXP(-0.006*F$143)+G148/EXP(-0.006*G$143))/3)*EXP(-0.006*H$143))</f>
        <v>9.5777041442726002E-2</v>
      </c>
      <c r="I148" s="275">
        <f ca="1">(((E148/EXP(-0.006*E$143)+F148/EXP(-0.006*F$143)+G148/EXP(-0.006*G$143))/3)*EXP(-0.006*I$143))</f>
        <v>2.6169852972038822E-3</v>
      </c>
      <c r="J148" s="15"/>
    </row>
    <row r="149" spans="1:10" ht="15" customHeight="1">
      <c r="A149" s="622" t="s">
        <v>499</v>
      </c>
      <c r="B149" s="623">
        <v>25</v>
      </c>
      <c r="C149" s="623" t="s">
        <v>464</v>
      </c>
      <c r="D149" s="263">
        <v>1</v>
      </c>
      <c r="E149" s="269" t="str">
        <f>IF(AsaRot2=1,"NA",(+OcEQU25400*ApNadir*MAX(ABS($G23),ABS(G24),ABS(G25))*Capac_Esp!$F$15))</f>
        <v>NA</v>
      </c>
      <c r="F149" s="250" t="str">
        <f>IF(AsaRot2=1,"NA",(+OcEQU25700*ApNadir*MAX(ABS($G27),ABS(G28),ABS(G29))*Capac_Esp!$F$15))</f>
        <v>NA</v>
      </c>
      <c r="G149" s="270" t="str">
        <f>IF(AsaRot2=1,"NA",(+OcEQU251500*ApNadir*MAX(ABS($G31),ABS(G32),ABS(G33))*Capac_Esp!$F$15))</f>
        <v>NA</v>
      </c>
      <c r="H149" s="276" t="str">
        <f>IF(AsaRot2=1,"NA",(((E149/EXP(-0.006*E$143)+F149/EXP(-0.006*F$143)+G149/EXP(-0.006*G$143))/3)*EXP(-0.006*H$143)))</f>
        <v>NA</v>
      </c>
      <c r="I149" s="277" t="str">
        <f>IF(AsaRot2=1,"NA",(((E149/EXP(-0.006*E$143)+F149/EXP(-0.006*F$143)+G149/EXP(-0.006*G$143))/3)*EXP(-0.006*I$143)))</f>
        <v>NA</v>
      </c>
      <c r="J149" s="15"/>
    </row>
    <row r="150" spans="1:10" ht="15" customHeight="1">
      <c r="A150" s="622"/>
      <c r="B150" s="623"/>
      <c r="C150" s="623"/>
      <c r="D150" s="262">
        <v>2</v>
      </c>
      <c r="E150" s="280">
        <f ca="1">(+OcEQU25400*ApNadir*MAX(ABS(G37),ABS(G38),ABS(G39))*Capac_Esp!$F$15)</f>
        <v>0.72959511429782298</v>
      </c>
      <c r="F150" s="281">
        <f ca="1">(+OcEQU25700*ApNadir*MAX(ABS(G41),ABS(G42),ABS(G43))*Capac_Esp!$F$15)</f>
        <v>1.9981174744391705E-2</v>
      </c>
      <c r="G150" s="282">
        <f ca="1">(+OcEQU251500*ApNadir*MAX(ABS(G45),ABS(G46),ABS(G47))*Capac_Esp!$F$15)</f>
        <v>1.4079639262964849E-4</v>
      </c>
      <c r="H150" s="274">
        <f ca="1">(((E150/EXP(-0.006*E$143)+F150/EXP(-0.006*F$143)+G150/EXP(-0.006*G$143))/3)*EXP(-0.006*H$143))</f>
        <v>9.5777041442726002E-2</v>
      </c>
      <c r="I150" s="275">
        <f ca="1">(((E150/EXP(-0.006*E$143)+F150/EXP(-0.006*F$143)+G150/EXP(-0.006*G$143))/3)*EXP(-0.006*I$143))</f>
        <v>2.6169852972038822E-3</v>
      </c>
      <c r="J150" s="15"/>
    </row>
    <row r="151" spans="1:10" ht="15" customHeight="1">
      <c r="A151" s="630" t="s">
        <v>463</v>
      </c>
      <c r="B151" s="623">
        <v>0</v>
      </c>
      <c r="C151" s="623" t="s">
        <v>332</v>
      </c>
      <c r="D151" s="263">
        <v>1</v>
      </c>
      <c r="E151" s="271"/>
      <c r="F151" s="250" t="str">
        <f>IF(AsaRot2=1,"NA",(+OcEQU0700*ApSol*MAX(ABS(G63),ABS(G64),ABS(G65))*Capac_Esp!$F$15))</f>
        <v>NA</v>
      </c>
      <c r="G151" s="270" t="str">
        <f>IF(AsaRot2=1,"NA",(+OcEQU01500*ApSol*MAX(ABS(G67),ABS(G68),ABS(G69))*Capac_Esp!$F$15))</f>
        <v>NA</v>
      </c>
      <c r="H151" s="276" t="str">
        <f>IF(AsaRot2=1,"NA",(((F151/EXP(-0.006*F$143)+G151/EXP(-0.006*G$143))/2)*EXP(-0.006*H$143)))</f>
        <v>NA</v>
      </c>
      <c r="I151" s="277" t="str">
        <f>IF(AsaRot2=1,"NA",(((F151/EXP(-0.006*F$143)+G151/EXP(-0.006*G$143))/2)*EXP(-0.006*I$143)))</f>
        <v>NA</v>
      </c>
      <c r="J151" s="15"/>
    </row>
    <row r="152" spans="1:10" ht="15" customHeight="1">
      <c r="A152" s="630"/>
      <c r="B152" s="623"/>
      <c r="C152" s="623"/>
      <c r="D152" s="262">
        <v>2</v>
      </c>
      <c r="E152" s="268"/>
      <c r="F152" s="281">
        <f ca="1">(+OcEQU0700*ApSol*MAX(ABS(G73),ABS(G74),ABS(G75))*Capac_Esp!$F$15)</f>
        <v>0.18624967445806376</v>
      </c>
      <c r="G152" s="282">
        <f ca="1">(+OcEQU01500*ApSol*MAX(ABS(G77),ABS(G78),ABS(G79))*Capac_Esp!$F$15)</f>
        <v>1.6231127460493007E-4</v>
      </c>
      <c r="H152" s="274">
        <f ca="1">(((F152/EXP(-0.006*F$143)+G152/EXP(-0.006*G$143))/2)*EXP(-0.006*H$143))</f>
        <v>0.18765289550823064</v>
      </c>
      <c r="I152" s="275">
        <f ca="1">(((F152/EXP(-0.006*F$143)+G152/EXP(-0.006*G$143))/2)*EXP(-0.006*I$143))</f>
        <v>5.127375633297686E-3</v>
      </c>
      <c r="J152" s="15"/>
    </row>
    <row r="153" spans="1:10" ht="15" customHeight="1">
      <c r="A153" s="622" t="s">
        <v>499</v>
      </c>
      <c r="B153" s="623">
        <v>12</v>
      </c>
      <c r="C153" s="623" t="s">
        <v>332</v>
      </c>
      <c r="D153" s="263">
        <v>1</v>
      </c>
      <c r="E153" s="271"/>
      <c r="F153" s="250" t="str">
        <f>IF(AsaRot2=1,"NA",(+OcEQU12700*ApSol*MAX(ABS(G93),ABS(G94),ABS(G95))*Capac_Esp!$F$15))</f>
        <v>NA</v>
      </c>
      <c r="G153" s="270" t="str">
        <f>IF(AsaRot2=1,"NA",(+OcEQU121500*ApSol*MAX(ABS(G97),ABS(G98),ABS(G99))*Capac_Esp!$F$15))</f>
        <v>NA</v>
      </c>
      <c r="H153" s="276" t="str">
        <f>IF(AsaRot2=1,"NA",(((F153/EXP(-0.006*F$143)+G153/EXP(-0.006*G$143))/2)*EXP(-0.006*H$143)))</f>
        <v>NA</v>
      </c>
      <c r="I153" s="277" t="str">
        <f>IF(AsaRot2=1,"NA",(((F153/EXP(-0.006*F$143)+G153/EXP(-0.006*G$143))/2)*EXP(-0.006*I$143)))</f>
        <v>NA</v>
      </c>
      <c r="J153" s="15"/>
    </row>
    <row r="154" spans="1:10" ht="15" customHeight="1">
      <c r="A154" s="622"/>
      <c r="B154" s="623"/>
      <c r="C154" s="623"/>
      <c r="D154" s="262">
        <v>2</v>
      </c>
      <c r="E154" s="268"/>
      <c r="F154" s="281">
        <f ca="1">(+OcEQU12700*ApSol*MAX(ABS(G103),ABS(G104),ABS(G105))*Capac_Esp!$F$15)</f>
        <v>0.17937435111825828</v>
      </c>
      <c r="G154" s="282">
        <f ca="1">(+OcEQU121500*ApSol*MAX(ABS(G107),ABS(G108),ABS(G109))*Capac_Esp!$F$15)</f>
        <v>1.6285466529871644E-4</v>
      </c>
      <c r="H154" s="274">
        <f ca="1">(((F154/EXP(-0.006*F$143)+G154/EXP(-0.006*G$143))/2)*EXP(-0.006*H$143))</f>
        <v>0.18144922264317398</v>
      </c>
      <c r="I154" s="275">
        <f ca="1">(((F154/EXP(-0.006*F$143)+G154/EXP(-0.006*G$143))/2)*EXP(-0.006*I$143))</f>
        <v>4.9578681977790777E-3</v>
      </c>
      <c r="J154" s="15"/>
    </row>
    <row r="155" spans="1:10" ht="15" customHeight="1">
      <c r="A155" s="622" t="s">
        <v>499</v>
      </c>
      <c r="B155" s="623">
        <v>25</v>
      </c>
      <c r="C155" s="623" t="s">
        <v>332</v>
      </c>
      <c r="D155" s="263">
        <v>1</v>
      </c>
      <c r="E155" s="271"/>
      <c r="F155" s="250" t="str">
        <f>IF(AsaRot2=1,"NA",(+OcEQU25700*ApSol*MAX(ABS(G123),ABS(G124),ABS(G125))*Capac_Esp!$F$15))</f>
        <v>NA</v>
      </c>
      <c r="G155" s="270" t="str">
        <f>IF(AsaRot2=1,"NA",(+OcEQU251500*ApSol*MAX(ABS(G127),ABS(G128),ABS(G129))*Capac_Esp!$F$15))</f>
        <v>NA</v>
      </c>
      <c r="H155" s="276" t="str">
        <f>IF(AsaRot2=1,"NA",(((F155/EXP(-0.006*F$143)+G155/EXP(-0.006*G$143))/2)*EXP(-0.006*H$143)))</f>
        <v>NA</v>
      </c>
      <c r="I155" s="277" t="str">
        <f>IF(AsaRot2=1,"NA",(((F155/EXP(-0.006*F$143)+G155/EXP(-0.006*G$143))/2)*EXP(-0.006*I$143)))</f>
        <v>NA</v>
      </c>
      <c r="J155" s="15"/>
    </row>
    <row r="156" spans="1:10" ht="15" customHeight="1">
      <c r="A156" s="622"/>
      <c r="B156" s="623"/>
      <c r="C156" s="623"/>
      <c r="D156" s="262">
        <v>2</v>
      </c>
      <c r="E156" s="268"/>
      <c r="F156" s="281">
        <f ca="1">(+OcEQU25700*ApSol*MAX(ABS(G133),ABS(G134),ABS(G135))*Capac_Esp!$F$15)</f>
        <v>0.1730736774812642</v>
      </c>
      <c r="G156" s="282">
        <f ca="1">(+OcEQU251500*ApSol*MAX(ABS(G137),ABS(G138),ABS(G139))*Capac_Esp!$F$15)</f>
        <v>1.6473333151931409E-4</v>
      </c>
      <c r="H156" s="274">
        <f ca="1">(((F156/EXP(-0.006*F$143)+G156/EXP(-0.006*G$143))/2)*EXP(-0.006*H$143))</f>
        <v>0.17591690907620131</v>
      </c>
      <c r="I156" s="275">
        <f ca="1">(((F156/EXP(-0.006*F$143)+G156/EXP(-0.006*G$143))/2)*EXP(-0.006*I$143))</f>
        <v>4.8067047973837252E-3</v>
      </c>
      <c r="J156" s="15"/>
    </row>
    <row r="157" spans="1:10" ht="15" customHeight="1">
      <c r="A157" s="622" t="s">
        <v>503</v>
      </c>
      <c r="B157" s="115" t="s">
        <v>504</v>
      </c>
      <c r="C157" s="623" t="s">
        <v>464</v>
      </c>
      <c r="D157" s="263">
        <v>1</v>
      </c>
      <c r="E157" s="269" t="str">
        <f>IF(AsaRot2=1,"NA",(+OcSSO10H400*ApNadir*MAX(ABS($G23),ABS(G24),ABS(G25))*Capac_Esp!$F$15))</f>
        <v>NA</v>
      </c>
      <c r="F157" s="250" t="str">
        <f>IF(AsaRot2=1,"NA",(+OcSSO10H700*ApNadir*MAX(ABS($G27),ABS(G28),ABS(G29))*Capac_Esp!$F$15))</f>
        <v>NA</v>
      </c>
      <c r="G157" s="270" t="str">
        <f>IF(AsaRot2=1,"NA",(+OcSSO10H1500*ApNadir*MAX(ABS($G31),ABS(G32),ABS(G33))*Capac_Esp!$F$15))</f>
        <v>NA</v>
      </c>
      <c r="H157" s="276" t="str">
        <f>IF(AsaRot2=1,"NA",(((E157/EXP(-0.006*E$143)+F157/EXP(-0.006*F$143)+G157/EXP(-0.006*G$143))/3)*EXP(-0.006*H$143)))</f>
        <v>NA</v>
      </c>
      <c r="I157" s="277" t="str">
        <f>IF(AsaRot2=1,"NA",(((E157/EXP(-0.006*E$143)+F157/EXP(-0.006*F$143)+G157/EXP(-0.006*G$143))/3)*EXP(-0.006*I$143)))</f>
        <v>NA</v>
      </c>
      <c r="J157" s="15"/>
    </row>
    <row r="158" spans="1:10" ht="15" customHeight="1">
      <c r="A158" s="622"/>
      <c r="B158" s="115">
        <v>100</v>
      </c>
      <c r="C158" s="623"/>
      <c r="D158" s="262">
        <v>2</v>
      </c>
      <c r="E158" s="280">
        <f ca="1">(+OcSSO10H400*ApNadir*MAX(ABS(G37),ABS(G38),ABS(G39))*Capac_Esp!$F$15)</f>
        <v>0.72959511429782298</v>
      </c>
      <c r="F158" s="281">
        <f ca="1">(+OcSSO10H700*ApNadir*MAX(ABS(G41),ABS(G42),ABS(G43))*Capac_Esp!$F$15)</f>
        <v>1.9981174744391705E-2</v>
      </c>
      <c r="G158" s="282">
        <f ca="1">(+OcSSO10H1500*ApNadir*MAX(ABS(G45),ABS(G46),ABS(G47))*Capac_Esp!$F$15)</f>
        <v>1.4079639262964849E-4</v>
      </c>
      <c r="H158" s="274">
        <f ca="1">(((E158/EXP(-0.006*E$143)+F158/EXP(-0.006*F$143)+G158/EXP(-0.006*G$143))/3)*EXP(-0.006*H$143))</f>
        <v>9.5777041442726002E-2</v>
      </c>
      <c r="I158" s="275">
        <f ca="1">(((E158/EXP(-0.006*E$143)+F158/EXP(-0.006*F$143)+G158/EXP(-0.006*G$143))/3)*EXP(-0.006*I$143))</f>
        <v>2.6169852972038822E-3</v>
      </c>
      <c r="J158" s="15"/>
    </row>
    <row r="159" spans="1:10" ht="15" customHeight="1">
      <c r="A159" s="622" t="s">
        <v>507</v>
      </c>
      <c r="B159" s="115" t="s">
        <v>504</v>
      </c>
      <c r="C159" s="623" t="s">
        <v>464</v>
      </c>
      <c r="D159" s="263">
        <v>1</v>
      </c>
      <c r="E159" s="269" t="str">
        <f>IF(AsaRot2=1,"NA",(+OcSSO12H400*ApNadir*MAX(ABS($G23),ABS(G24),ABS(G25))*Capac_Esp!$F$15))</f>
        <v>NA</v>
      </c>
      <c r="F159" s="250" t="str">
        <f>IF(AsaRot2=1,"NA",(+OcSSO12H700*ApNadir*MAX(ABS($G27),ABS(G28),ABS(G29))*Capac_Esp!$F$15))</f>
        <v>NA</v>
      </c>
      <c r="G159" s="270" t="str">
        <f>IF(AsaRot2=1,"NA",(+OcSSO12H1500*ApNadir*MAX(ABS($G31),ABS(G32),ABS(G33))*Capac_Esp!$F$15))</f>
        <v>NA</v>
      </c>
      <c r="H159" s="276" t="str">
        <f>IF(AsaRot2=1,"NA",(((E159/EXP(-0.006*E$143)+F159/EXP(-0.006*F$143)+G159/EXP(-0.006*G$143))/3)*EXP(-0.006*H$143)))</f>
        <v>NA</v>
      </c>
      <c r="I159" s="277" t="str">
        <f>IF(AsaRot2=1,"NA",(((E159/EXP(-0.006*E$143)+F159/EXP(-0.006*F$143)+G159/EXP(-0.006*G$143))/3)*EXP(-0.006*I$143)))</f>
        <v>NA</v>
      </c>
      <c r="J159" s="15"/>
    </row>
    <row r="160" spans="1:10" ht="15" customHeight="1" thickBot="1">
      <c r="A160" s="635"/>
      <c r="B160" s="120">
        <v>100</v>
      </c>
      <c r="C160" s="636"/>
      <c r="D160" s="264">
        <v>2</v>
      </c>
      <c r="E160" s="283">
        <f ca="1">(+OcSSO12H400*ApNadir*MAX(ABS(G37),ABS(G38),ABS(G39))*Capac_Esp!$F$15)</f>
        <v>0.72959511429782298</v>
      </c>
      <c r="F160" s="284">
        <f ca="1">(+OcSSO12H700*ApNadir*MAX(ABS(G41),ABS(G42),ABS(G43))*Capac_Esp!$F$15)</f>
        <v>1.9981174744391705E-2</v>
      </c>
      <c r="G160" s="285">
        <f ca="1">(+OcSSO12H1500*ApNadir*MAX(ABS(G45),ABS(G46),ABS(G47))*Capac_Esp!$F$15)</f>
        <v>1.4079639262964849E-4</v>
      </c>
      <c r="H160" s="278">
        <f ca="1">(((E160/EXP(-0.006*E$143)+F160/EXP(-0.006*F$143)+G160/EXP(-0.006*G$143))/3)*EXP(-0.006*H$143))</f>
        <v>9.5777041442726002E-2</v>
      </c>
      <c r="I160" s="279">
        <f ca="1">(((E160/EXP(-0.006*E$143)+F160/EXP(-0.006*F$143)+G160/EXP(-0.006*G$143))/3)*EXP(-0.006*I$143))</f>
        <v>2.6169852972038822E-3</v>
      </c>
      <c r="J160" s="15"/>
    </row>
    <row r="161" spans="1:9" ht="15" customHeight="1" thickBot="1">
      <c r="A161" s="248" t="s">
        <v>474</v>
      </c>
      <c r="B161" s="249">
        <f ca="1">MAX(H145:I160)</f>
        <v>0.18765289550823064</v>
      </c>
      <c r="C161" s="248" t="s">
        <v>500</v>
      </c>
      <c r="D161" s="249">
        <f ca="1">MIN(H146,I146,H148,I148,H150,I150,H152,I152,H154,I154,H156,I156,H158,I158,H160,I160)*AsaRot2+MIN(H145,I145,H147,I147,H149,I149,H151,I151,H153,I153,H155,I155,H157,I157,H159,I159)*AsaRot1</f>
        <v>2.6169852972038822E-3</v>
      </c>
      <c r="E161" s="501" t="s">
        <v>529</v>
      </c>
      <c r="F161" s="502">
        <f ca="1">(B161-D161)/ConfWheels</f>
        <v>0.18503591021102675</v>
      </c>
      <c r="G161" s="473" t="s">
        <v>780</v>
      </c>
      <c r="H161" s="504">
        <f ca="1">F161*Qrwh/ConfWheels</f>
        <v>0.740143640844107</v>
      </c>
      <c r="I161" s="107"/>
    </row>
    <row r="162" spans="1:9" s="155" customFormat="1" ht="15" customHeight="1" thickBot="1">
      <c r="A162" s="184"/>
      <c r="B162" s="186"/>
      <c r="C162" s="187" t="s">
        <v>779</v>
      </c>
      <c r="D162" s="500">
        <f>ConfWheels</f>
        <v>1</v>
      </c>
      <c r="E162" s="503" t="s">
        <v>892</v>
      </c>
      <c r="F162" s="505">
        <f>Qrwh</f>
        <v>4</v>
      </c>
      <c r="G162"/>
      <c r="H162"/>
      <c r="I162" s="107"/>
    </row>
  </sheetData>
  <sheetProtection password="CAF5" sheet="1" objects="1" scenarios="1"/>
  <mergeCells count="25">
    <mergeCell ref="A157:A158"/>
    <mergeCell ref="C157:C158"/>
    <mergeCell ref="A159:A160"/>
    <mergeCell ref="C159:C160"/>
    <mergeCell ref="A153:A154"/>
    <mergeCell ref="B153:B154"/>
    <mergeCell ref="C153:C154"/>
    <mergeCell ref="A155:A156"/>
    <mergeCell ref="B155:B156"/>
    <mergeCell ref="C155:C156"/>
    <mergeCell ref="A149:A150"/>
    <mergeCell ref="B149:B150"/>
    <mergeCell ref="C149:C150"/>
    <mergeCell ref="A151:A152"/>
    <mergeCell ref="B151:B152"/>
    <mergeCell ref="C151:C152"/>
    <mergeCell ref="A147:A148"/>
    <mergeCell ref="B147:B148"/>
    <mergeCell ref="C147:C148"/>
    <mergeCell ref="A141:I141"/>
    <mergeCell ref="H142:I142"/>
    <mergeCell ref="A145:A146"/>
    <mergeCell ref="B145:B146"/>
    <mergeCell ref="C145:C146"/>
    <mergeCell ref="E142:G142"/>
  </mergeCells>
  <pageMargins left="0.511811024" right="0.511811024" top="0.78740157499999996" bottom="0.78740157499999996" header="0.31496062000000002" footer="0.31496062000000002"/>
  <pageSetup paperSize="168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>
  <dimension ref="A2:O131"/>
  <sheetViews>
    <sheetView topLeftCell="A104" workbookViewId="0">
      <selection activeCell="E132" sqref="E132"/>
    </sheetView>
  </sheetViews>
  <sheetFormatPr defaultColWidth="8.85546875" defaultRowHeight="15"/>
  <cols>
    <col min="1" max="1" width="9.7109375" customWidth="1"/>
    <col min="2" max="2" width="10.7109375" customWidth="1"/>
    <col min="3" max="3" width="7.42578125" customWidth="1"/>
    <col min="4" max="4" width="8.28515625" customWidth="1"/>
    <col min="5" max="5" width="6.85546875" customWidth="1"/>
    <col min="6" max="6" width="6.7109375" customWidth="1"/>
    <col min="7" max="7" width="5.42578125" customWidth="1"/>
    <col min="8" max="9" width="6.42578125" customWidth="1"/>
    <col min="10" max="10" width="9.7109375" customWidth="1"/>
    <col min="11" max="11" width="11.140625" customWidth="1"/>
    <col min="12" max="12" width="8.42578125" customWidth="1"/>
  </cols>
  <sheetData>
    <row r="2" spans="1:15">
      <c r="A2" s="5" t="s">
        <v>176</v>
      </c>
    </row>
    <row r="3" spans="1:15">
      <c r="A3" s="5"/>
      <c r="B3" s="52"/>
      <c r="C3" s="67"/>
      <c r="D3" s="52"/>
      <c r="E3" s="53" t="s">
        <v>233</v>
      </c>
      <c r="F3" s="53"/>
      <c r="G3" s="54"/>
      <c r="H3" s="55"/>
      <c r="I3" s="53" t="s">
        <v>234</v>
      </c>
      <c r="J3" s="53"/>
      <c r="K3" s="54"/>
      <c r="L3" s="55"/>
      <c r="M3" s="53" t="s">
        <v>235</v>
      </c>
      <c r="N3" s="53"/>
      <c r="O3" s="54"/>
    </row>
    <row r="4" spans="1:15" ht="31.5" customHeight="1">
      <c r="A4" s="5"/>
      <c r="B4" s="33" t="s">
        <v>79</v>
      </c>
      <c r="C4" s="35" t="s">
        <v>177</v>
      </c>
      <c r="D4" s="49" t="s">
        <v>179</v>
      </c>
      <c r="E4" s="34" t="s">
        <v>180</v>
      </c>
      <c r="F4" s="34" t="s">
        <v>181</v>
      </c>
      <c r="G4" s="50" t="s">
        <v>182</v>
      </c>
      <c r="H4" s="49" t="s">
        <v>179</v>
      </c>
      <c r="I4" s="56" t="s">
        <v>180</v>
      </c>
      <c r="J4" s="34" t="s">
        <v>181</v>
      </c>
      <c r="K4" s="50" t="s">
        <v>182</v>
      </c>
      <c r="L4" s="49" t="s">
        <v>179</v>
      </c>
      <c r="M4" s="34" t="s">
        <v>180</v>
      </c>
      <c r="N4" s="34" t="s">
        <v>181</v>
      </c>
      <c r="O4" s="50" t="s">
        <v>182</v>
      </c>
    </row>
    <row r="5" spans="1:15" ht="17.25">
      <c r="A5" s="5"/>
      <c r="B5" s="36" t="s">
        <v>239</v>
      </c>
      <c r="C5" s="38" t="s">
        <v>178</v>
      </c>
      <c r="D5" s="36" t="s">
        <v>94</v>
      </c>
      <c r="E5" s="37" t="s">
        <v>238</v>
      </c>
      <c r="F5" s="37" t="s">
        <v>238</v>
      </c>
      <c r="G5" s="38" t="s">
        <v>238</v>
      </c>
      <c r="H5" s="36" t="s">
        <v>94</v>
      </c>
      <c r="I5" s="37" t="s">
        <v>238</v>
      </c>
      <c r="J5" s="37" t="s">
        <v>238</v>
      </c>
      <c r="K5" s="38" t="s">
        <v>238</v>
      </c>
      <c r="L5" s="36" t="s">
        <v>94</v>
      </c>
      <c r="M5" s="37" t="s">
        <v>238</v>
      </c>
      <c r="N5" s="37" t="s">
        <v>238</v>
      </c>
      <c r="O5" s="38" t="s">
        <v>238</v>
      </c>
    </row>
    <row r="6" spans="1:15">
      <c r="B6" s="68">
        <v>400</v>
      </c>
      <c r="C6" s="58"/>
      <c r="D6" s="39"/>
      <c r="E6" s="40"/>
      <c r="F6" s="40"/>
      <c r="G6" s="41"/>
      <c r="H6" s="39"/>
      <c r="I6" s="40"/>
      <c r="J6" s="40"/>
      <c r="K6" s="41"/>
      <c r="L6" s="39"/>
      <c r="M6" s="57"/>
      <c r="N6" s="57"/>
      <c r="O6" s="58"/>
    </row>
    <row r="7" spans="1:15">
      <c r="B7" s="69" t="s">
        <v>27</v>
      </c>
      <c r="C7" s="70">
        <f>CMSS400x</f>
        <v>13905</v>
      </c>
      <c r="D7" s="42">
        <f>ABS(Torque!G9)</f>
        <v>0</v>
      </c>
      <c r="E7" s="40"/>
      <c r="F7" s="40">
        <f>ABS(D7/(T_400*$C9*0.000000001))</f>
        <v>0</v>
      </c>
      <c r="G7" s="41">
        <f>ABS(D7/(T_400*$C8*0.000000001))</f>
        <v>0</v>
      </c>
      <c r="H7" s="42">
        <f>Torque!G23</f>
        <v>0</v>
      </c>
      <c r="I7" s="40"/>
      <c r="J7" s="40">
        <f>ABS(H7/(T_400*$C9*0.000000001))</f>
        <v>0</v>
      </c>
      <c r="K7" s="41">
        <f>ABS(H7/(T_400*$C8*0.000000001))</f>
        <v>0</v>
      </c>
      <c r="L7" s="42">
        <f>Torque!G37</f>
        <v>0</v>
      </c>
      <c r="M7" s="40"/>
      <c r="N7" s="40">
        <f>ABS(L7/(T_400*$C9*0.000000001))</f>
        <v>0</v>
      </c>
      <c r="O7" s="41">
        <f>ABS(L7/(T_400*$C8*0.000000001))</f>
        <v>0</v>
      </c>
    </row>
    <row r="8" spans="1:15">
      <c r="B8" s="69" t="s">
        <v>28</v>
      </c>
      <c r="C8" s="70">
        <f>CMSS400y</f>
        <v>1271</v>
      </c>
      <c r="D8" s="42">
        <f ca="1">ABS(Torque!G10)</f>
        <v>0.3315918046502635</v>
      </c>
      <c r="E8" s="47">
        <f ca="1">ABS(D8/(T_400*$C9*0.000000001))</f>
        <v>2.090443444738205</v>
      </c>
      <c r="F8" s="47"/>
      <c r="G8" s="51">
        <f ca="1">ABS(D8/(T_400*$C7*0.000000001))</f>
        <v>4.2939407169084935</v>
      </c>
      <c r="H8" s="42">
        <f ca="1">Torque!G24</f>
        <v>-1.06838779630182</v>
      </c>
      <c r="I8" s="47">
        <f ca="1">ABS(H8/(T_400*$C9*0.000000001))</f>
        <v>6.7354024855139363</v>
      </c>
      <c r="J8" s="47"/>
      <c r="K8" s="51">
        <f ca="1">ABS(H8/(T_400*$C7*0.000000001))</f>
        <v>13.835064062657247</v>
      </c>
      <c r="L8" s="42">
        <f ca="1">Torque!G38</f>
        <v>-1.8051837879533765</v>
      </c>
      <c r="M8" s="47">
        <f ca="1">ABS(L8/(T_400*$C9*0.000000001))</f>
        <v>11.380361526289667</v>
      </c>
      <c r="N8" s="47"/>
      <c r="O8" s="41">
        <f ca="1">ABS(L8/(T_400*$C7*0.000000001))</f>
        <v>23.376187408406</v>
      </c>
    </row>
    <row r="9" spans="1:15">
      <c r="B9" s="69" t="s">
        <v>29</v>
      </c>
      <c r="C9" s="70">
        <f>CMSS400z</f>
        <v>28562</v>
      </c>
      <c r="D9" s="42">
        <f ca="1">ABS(Torque!G11)</f>
        <v>0.3315918046502635</v>
      </c>
      <c r="E9" s="47">
        <f ca="1">ABS(-D9/(T_400*$C8*0.000000001))</f>
        <v>46.976589825816376</v>
      </c>
      <c r="F9" s="47">
        <f ca="1">ABS(-D9/(T_400*$C7*0.000000001))</f>
        <v>4.2939407169084935</v>
      </c>
      <c r="G9" s="51"/>
      <c r="H9" s="42">
        <f ca="1">Torque!G25</f>
        <v>61.547058777700414</v>
      </c>
      <c r="I9" s="47">
        <f ca="1">ABS(-H9/(T_400*$C8*0.000000001))</f>
        <v>8719.3678934101663</v>
      </c>
      <c r="J9" s="47">
        <f ca="1">ABS(-H9/(T_400*$C7*0.000000001))</f>
        <v>797.00227202620067</v>
      </c>
      <c r="K9" s="51"/>
      <c r="L9" s="42">
        <f ca="1">Torque!G39</f>
        <v>1.8051837879533679</v>
      </c>
      <c r="M9" s="47">
        <f ca="1">ABS(-L9/(T_400*$C8*0.000000001))</f>
        <v>255.74027215883865</v>
      </c>
      <c r="N9" s="47">
        <f ca="1">ABS(-L9/(T_400*$C7*0.000000001))</f>
        <v>23.37618740840589</v>
      </c>
      <c r="O9" s="41"/>
    </row>
    <row r="10" spans="1:15">
      <c r="B10" s="68">
        <v>700</v>
      </c>
      <c r="C10" s="71"/>
      <c r="D10" s="42"/>
      <c r="E10" s="47"/>
      <c r="F10" s="47"/>
      <c r="G10" s="51"/>
      <c r="H10" s="44"/>
      <c r="I10" s="47"/>
      <c r="J10" s="47"/>
      <c r="K10" s="51"/>
      <c r="L10" s="46"/>
      <c r="M10" s="47"/>
      <c r="N10" s="47"/>
      <c r="O10" s="41"/>
    </row>
    <row r="11" spans="1:15">
      <c r="B11" s="69" t="s">
        <v>27</v>
      </c>
      <c r="C11" s="70">
        <f>CMSS700x</f>
        <v>11470</v>
      </c>
      <c r="D11" s="42">
        <f>ABS(Torque!G13)</f>
        <v>0</v>
      </c>
      <c r="E11" s="47"/>
      <c r="F11" s="47">
        <f>ABS(D11/(T_400*$C13*0.000000001))</f>
        <v>0</v>
      </c>
      <c r="G11" s="51">
        <f>ABS(D11/(T_400*$C12*0.000000001))</f>
        <v>0</v>
      </c>
      <c r="H11" s="42">
        <f>Torque!G27</f>
        <v>0</v>
      </c>
      <c r="I11" s="47"/>
      <c r="J11" s="47">
        <f>ABS(H11/(T_400*$C13*0.000000001))</f>
        <v>0</v>
      </c>
      <c r="K11" s="51">
        <f>ABS(H11/(T_400*$C12*0.000000001))</f>
        <v>0</v>
      </c>
      <c r="L11" s="42">
        <f>Torque!G41</f>
        <v>0</v>
      </c>
      <c r="M11" s="47"/>
      <c r="N11" s="47">
        <f>ABS(L11/(T_400*$C13*0.000000001))</f>
        <v>0</v>
      </c>
      <c r="O11" s="41">
        <f>ABS(L11/(T_400*$C12*0.000000001))</f>
        <v>0</v>
      </c>
    </row>
    <row r="12" spans="1:15">
      <c r="B12" s="69" t="s">
        <v>28</v>
      </c>
      <c r="C12" s="70">
        <f>CMSS700y</f>
        <v>1055</v>
      </c>
      <c r="D12" s="42">
        <f ca="1">ABS(Torque!G14)</f>
        <v>9.0811926542322136E-3</v>
      </c>
      <c r="E12" s="47">
        <f ca="1">ABS(D12/(T_400*$C13*0.000000001))</f>
        <v>6.8907802451364408E-2</v>
      </c>
      <c r="F12" s="47"/>
      <c r="G12" s="51">
        <f ca="1">ABS(D12/(T_400*$C11*0.000000001))</f>
        <v>0.14256165232527265</v>
      </c>
      <c r="H12" s="42">
        <f ca="1">Torque!G28</f>
        <v>-2.9259575392342922E-2</v>
      </c>
      <c r="I12" s="47">
        <f ca="1">ABS(H12/(T_400*$C13*0.000000001))</f>
        <v>0.22202073204632766</v>
      </c>
      <c r="J12" s="47"/>
      <c r="K12" s="51">
        <f ca="1">ABS(H12/(T_400*$C11*0.000000001))</f>
        <v>0.45933321459976933</v>
      </c>
      <c r="L12" s="42">
        <f ca="1">Torque!G42</f>
        <v>-4.9437958130453624E-2</v>
      </c>
      <c r="M12" s="47">
        <f ca="1">ABS(L12/(T_400*$C13*0.000000001))</f>
        <v>0.37513366164129086</v>
      </c>
      <c r="N12" s="47"/>
      <c r="O12" s="41">
        <f ca="1">ABS(L12/(T_400*$C11*0.000000001))</f>
        <v>0.77610477687426593</v>
      </c>
    </row>
    <row r="13" spans="1:15">
      <c r="B13" s="69" t="s">
        <v>29</v>
      </c>
      <c r="C13" s="70">
        <f>CMSS700z</f>
        <v>23730</v>
      </c>
      <c r="D13" s="42">
        <f ca="1">ABS(Torque!G15)</f>
        <v>9.0811926542322136E-3</v>
      </c>
      <c r="E13" s="47">
        <f ca="1">ABS(-D13/(T_400*$C12*0.000000001))</f>
        <v>1.5499356892614951</v>
      </c>
      <c r="F13" s="47">
        <f ca="1">ABS(-D13/(T_400*$C11*0.000000001))</f>
        <v>0.14256165232527265</v>
      </c>
      <c r="G13" s="51"/>
      <c r="H13" s="42">
        <f ca="1">Torque!G29</f>
        <v>1.6855684918122633</v>
      </c>
      <c r="I13" s="47">
        <f ca="1">ABS(-H13/(T_400*$C12*0.000000001))</f>
        <v>287.68498385913603</v>
      </c>
      <c r="J13" s="47">
        <f ca="1">ABS(-H13/(T_400*$C11*0.000000001))</f>
        <v>26.460998951298038</v>
      </c>
      <c r="K13" s="51"/>
      <c r="L13" s="42">
        <f ca="1">Torque!G43</f>
        <v>4.9437958130453707E-2</v>
      </c>
      <c r="M13" s="47">
        <f ca="1">ABS(-L13/(T_400*$C12*0.000000001))</f>
        <v>8.4378405599505655</v>
      </c>
      <c r="N13" s="47">
        <f ca="1">ABS(-L13/(T_400*$C11*0.000000001))</f>
        <v>0.77610477687426727</v>
      </c>
      <c r="O13" s="41"/>
    </row>
    <row r="14" spans="1:15">
      <c r="B14" s="68">
        <v>1500</v>
      </c>
      <c r="C14" s="71"/>
      <c r="D14" s="42"/>
      <c r="E14" s="47"/>
      <c r="F14" s="47"/>
      <c r="G14" s="51"/>
      <c r="H14" s="44"/>
      <c r="I14" s="47"/>
      <c r="J14" s="47"/>
      <c r="K14" s="51"/>
      <c r="L14" s="46"/>
      <c r="M14" s="47"/>
      <c r="N14" s="47"/>
      <c r="O14" s="41"/>
    </row>
    <row r="15" spans="1:15">
      <c r="B15" s="69" t="s">
        <v>27</v>
      </c>
      <c r="C15" s="70">
        <f>CMSS1500x</f>
        <v>8584</v>
      </c>
      <c r="D15" s="42">
        <f>ABS(Torque!G17)</f>
        <v>0</v>
      </c>
      <c r="E15" s="47"/>
      <c r="F15" s="47">
        <f>ABS(D15/(T_400*$C17*0.000000001))</f>
        <v>0</v>
      </c>
      <c r="G15" s="51">
        <f>ABS(D15/(T_400*$C16*0.000000001))</f>
        <v>0</v>
      </c>
      <c r="H15" s="42">
        <f>Torque!G31</f>
        <v>0</v>
      </c>
      <c r="I15" s="47"/>
      <c r="J15" s="47">
        <f>ABS(H15/(T_400*$C17*0.000000001))</f>
        <v>0</v>
      </c>
      <c r="K15" s="51">
        <f>ABS(H15/(T_400*$C16*0.000000001))</f>
        <v>0</v>
      </c>
      <c r="L15" s="42">
        <f>Torque!G45</f>
        <v>0</v>
      </c>
      <c r="M15" s="47"/>
      <c r="N15" s="47">
        <f>ABS(L15/(T_400*$C17*0.000000001))</f>
        <v>0</v>
      </c>
      <c r="O15" s="41">
        <f>ABS(L15/(T_400*$C16*0.000000001))</f>
        <v>0</v>
      </c>
    </row>
    <row r="16" spans="1:15">
      <c r="B16" s="69" t="s">
        <v>28</v>
      </c>
      <c r="C16" s="70">
        <f>CMSS1500y</f>
        <v>1140</v>
      </c>
      <c r="D16" s="42">
        <f ca="1">ABS(Torque!G18)</f>
        <v>6.3990189908610676E-5</v>
      </c>
      <c r="E16" s="47">
        <f ca="1">ABS(D16/(T_400*$C17*0.000000001))</f>
        <v>6.4709833004858994E-4</v>
      </c>
      <c r="F16" s="47"/>
      <c r="G16" s="51">
        <f ca="1">ABS(D16/(T_400*$C15*0.000000001))</f>
        <v>1.3422918062494401E-3</v>
      </c>
      <c r="H16" s="42">
        <f ca="1">Torque!G32</f>
        <v>-2.0617619923840659E-4</v>
      </c>
      <c r="I16" s="47">
        <f ca="1">ABS(H16/(T_400*$C17*0.000000001))</f>
        <v>2.0849488712798062E-3</v>
      </c>
      <c r="J16" s="47"/>
      <c r="K16" s="51">
        <f ca="1">ABS(H16/(T_400*$C15*0.000000001))</f>
        <v>4.3248601586682468E-3</v>
      </c>
      <c r="L16" s="42">
        <f ca="1">Torque!G46</f>
        <v>-3.4836220856820249E-4</v>
      </c>
      <c r="M16" s="47">
        <f ca="1">ABS(L16/(T_400*$C17*0.000000001))</f>
        <v>3.5227994125110219E-3</v>
      </c>
      <c r="N16" s="47"/>
      <c r="O16" s="41">
        <f ca="1">ABS(L16/(T_400*$C15*0.000000001))</f>
        <v>7.3074285110870532E-3</v>
      </c>
    </row>
    <row r="17" spans="1:15">
      <c r="B17" s="72" t="s">
        <v>29</v>
      </c>
      <c r="C17" s="73">
        <f>CMSS1500z</f>
        <v>17806</v>
      </c>
      <c r="D17" s="62">
        <f ca="1">ABS(Torque!G19)</f>
        <v>6.3990189908610676E-5</v>
      </c>
      <c r="E17" s="65">
        <f ca="1">ABS(-D17/(T_400*$C16*0.000000001))</f>
        <v>1.0107221811267714E-2</v>
      </c>
      <c r="F17" s="65">
        <f ca="1">ABS(-D17/(T_400*$C15*0.000000001))</f>
        <v>1.3422918062494401E-3</v>
      </c>
      <c r="G17" s="66"/>
      <c r="H17" s="62">
        <f ca="1">Torque!G33</f>
        <v>1.1877277798392484E-2</v>
      </c>
      <c r="I17" s="65">
        <f ca="1">ABS(-H17/(T_400*$C16*0.000000001))</f>
        <v>1.8760107040445673</v>
      </c>
      <c r="J17" s="65">
        <f ca="1">ABS(-H17/(T_400*$C15*0.000000001))</f>
        <v>0.2491440124197119</v>
      </c>
      <c r="K17" s="66"/>
      <c r="L17" s="62">
        <f ca="1">Torque!G47</f>
        <v>3.4836220856819793E-4</v>
      </c>
      <c r="M17" s="65">
        <f ca="1">ABS(-L17/(T_400*$C16*0.000000001))</f>
        <v>5.5023654683482845E-2</v>
      </c>
      <c r="N17" s="65">
        <f ca="1">ABS(-L17/(T_400*$C15*0.000000001))</f>
        <v>7.3074285110869578E-3</v>
      </c>
      <c r="O17" s="64"/>
    </row>
    <row r="18" spans="1:15">
      <c r="B18" s="4"/>
      <c r="C18" s="17"/>
      <c r="D18" s="16"/>
      <c r="E18" s="16"/>
      <c r="F18" s="16"/>
      <c r="G18" s="16"/>
      <c r="H18" s="16"/>
      <c r="I18" s="4"/>
      <c r="J18" s="15"/>
      <c r="K18" s="15"/>
      <c r="L18" s="15"/>
    </row>
    <row r="19" spans="1:15">
      <c r="A19" s="5" t="s">
        <v>237</v>
      </c>
      <c r="G19" s="15"/>
      <c r="H19" s="15"/>
      <c r="I19" s="4"/>
      <c r="J19" s="9"/>
      <c r="K19" s="8"/>
      <c r="L19" s="8"/>
    </row>
    <row r="20" spans="1:15">
      <c r="B20" s="5" t="s">
        <v>236</v>
      </c>
      <c r="G20" s="15"/>
      <c r="H20" s="15"/>
    </row>
    <row r="21" spans="1:15">
      <c r="B21" s="52"/>
      <c r="C21" s="67"/>
      <c r="D21" s="52"/>
      <c r="E21" s="53" t="s">
        <v>233</v>
      </c>
      <c r="F21" s="53"/>
      <c r="G21" s="54"/>
      <c r="H21" s="55"/>
      <c r="I21" s="53" t="s">
        <v>234</v>
      </c>
      <c r="J21" s="53"/>
      <c r="K21" s="54"/>
      <c r="L21" s="55"/>
      <c r="M21" s="53" t="s">
        <v>235</v>
      </c>
      <c r="N21" s="53"/>
      <c r="O21" s="54"/>
    </row>
    <row r="22" spans="1:15" ht="30">
      <c r="B22" s="33" t="s">
        <v>79</v>
      </c>
      <c r="C22" s="35" t="s">
        <v>177</v>
      </c>
      <c r="D22" s="49" t="s">
        <v>179</v>
      </c>
      <c r="E22" s="34" t="s">
        <v>180</v>
      </c>
      <c r="F22" s="34" t="s">
        <v>181</v>
      </c>
      <c r="G22" s="50" t="s">
        <v>182</v>
      </c>
      <c r="H22" s="49" t="s">
        <v>179</v>
      </c>
      <c r="I22" s="56" t="s">
        <v>180</v>
      </c>
      <c r="J22" s="34" t="s">
        <v>181</v>
      </c>
      <c r="K22" s="50" t="s">
        <v>182</v>
      </c>
      <c r="L22" s="49" t="s">
        <v>179</v>
      </c>
      <c r="M22" s="34" t="s">
        <v>180</v>
      </c>
      <c r="N22" s="34" t="s">
        <v>181</v>
      </c>
      <c r="O22" s="50" t="s">
        <v>182</v>
      </c>
    </row>
    <row r="23" spans="1:15" ht="17.25">
      <c r="B23" s="36" t="s">
        <v>239</v>
      </c>
      <c r="C23" s="38" t="s">
        <v>178</v>
      </c>
      <c r="D23" s="36" t="s">
        <v>94</v>
      </c>
      <c r="E23" s="37" t="s">
        <v>238</v>
      </c>
      <c r="F23" s="37" t="s">
        <v>238</v>
      </c>
      <c r="G23" s="38" t="s">
        <v>238</v>
      </c>
      <c r="H23" s="36" t="s">
        <v>94</v>
      </c>
      <c r="I23" s="37" t="s">
        <v>238</v>
      </c>
      <c r="J23" s="37" t="s">
        <v>238</v>
      </c>
      <c r="K23" s="38" t="s">
        <v>238</v>
      </c>
      <c r="L23" s="36" t="s">
        <v>94</v>
      </c>
      <c r="M23" s="37" t="s">
        <v>238</v>
      </c>
      <c r="N23" s="37" t="s">
        <v>238</v>
      </c>
      <c r="O23" s="38" t="s">
        <v>238</v>
      </c>
    </row>
    <row r="24" spans="1:15">
      <c r="B24" s="61" t="s">
        <v>5</v>
      </c>
      <c r="C24" s="58"/>
      <c r="D24" s="61"/>
      <c r="E24" s="57"/>
      <c r="F24" s="57"/>
      <c r="G24" s="41"/>
      <c r="H24" s="39"/>
      <c r="I24" s="57"/>
      <c r="J24" s="57"/>
      <c r="K24" s="58"/>
      <c r="L24" s="61"/>
      <c r="M24" s="57"/>
      <c r="N24" s="57"/>
      <c r="O24" s="58"/>
    </row>
    <row r="25" spans="1:15">
      <c r="B25" s="69" t="s">
        <v>27</v>
      </c>
      <c r="C25" s="70">
        <f>CMEQ0400x</f>
        <v>2676</v>
      </c>
      <c r="D25" s="42">
        <f>Torque!G9</f>
        <v>0</v>
      </c>
      <c r="E25" s="40"/>
      <c r="F25" s="40">
        <f>ABS(D25/(T_400*$C27*0.000000001))</f>
        <v>0</v>
      </c>
      <c r="G25" s="41">
        <f>ABS(D25/(T_400*$C26*0.000000001))</f>
        <v>0</v>
      </c>
      <c r="H25" s="42">
        <f>Torque!G23</f>
        <v>0</v>
      </c>
      <c r="I25" s="40"/>
      <c r="J25" s="40">
        <f>ABS(H25/(T_400*$C27*0.000000001))</f>
        <v>0</v>
      </c>
      <c r="K25" s="41">
        <f>ABS(H25/(T_400*$C26*0.000000001))</f>
        <v>0</v>
      </c>
      <c r="L25" s="42">
        <f>Torque!G37</f>
        <v>0</v>
      </c>
      <c r="M25" s="40"/>
      <c r="N25" s="40">
        <f>ABS(L25/(T_400*$C27*0.000000001))</f>
        <v>0</v>
      </c>
      <c r="O25" s="41">
        <f>ABS(L25/(T_400*$C26*0.000000001))</f>
        <v>0</v>
      </c>
    </row>
    <row r="26" spans="1:15">
      <c r="B26" s="69" t="s">
        <v>28</v>
      </c>
      <c r="C26" s="70">
        <f>CMEQ0400y</f>
        <v>25938</v>
      </c>
      <c r="D26" s="42">
        <f ca="1">Torque!G10</f>
        <v>-0.3315918046502635</v>
      </c>
      <c r="E26" s="47">
        <f ca="1">ABS(D26/(T_400*$C27*0.000000001))</f>
        <v>8.6332049838942471</v>
      </c>
      <c r="F26" s="47"/>
      <c r="G26" s="51">
        <f ca="1">ABS(D26/(T_400*$C25*0.000000001))</f>
        <v>22.31212468931712</v>
      </c>
      <c r="H26" s="42">
        <f ca="1">Torque!G24</f>
        <v>-1.06838779630182</v>
      </c>
      <c r="I26" s="47">
        <f ca="1">ABS(H26/(T_400*$C27*0.000000001))</f>
        <v>27.816160467213567</v>
      </c>
      <c r="J26" s="47"/>
      <c r="K26" s="51">
        <f ca="1">ABS(H26/(T_400*$C25*0.000000001))</f>
        <v>71.889598576699939</v>
      </c>
      <c r="L26" s="42">
        <f ca="1">Torque!G38</f>
        <v>-1.8051837879533765</v>
      </c>
      <c r="M26" s="47">
        <f ca="1">ABS(L26/(T_400*$C27*0.000000001))</f>
        <v>46.999115950532889</v>
      </c>
      <c r="N26" s="47"/>
      <c r="O26" s="41">
        <f ca="1">ABS(L26/(T_400*$C25*0.000000001))</f>
        <v>121.46707246408276</v>
      </c>
    </row>
    <row r="27" spans="1:15">
      <c r="B27" s="69" t="s">
        <v>29</v>
      </c>
      <c r="C27" s="70">
        <f>CMEQ0400z</f>
        <v>6916</v>
      </c>
      <c r="D27" s="42">
        <f ca="1">Torque!G11</f>
        <v>0.3315918046502635</v>
      </c>
      <c r="E27" s="47">
        <f ca="1">ABS(-D27/(T_400*$C26*0.000000001))</f>
        <v>2.3019217236723186</v>
      </c>
      <c r="F27" s="47">
        <f ca="1">ABS(-D27/(T_400*$C25*0.000000001))</f>
        <v>22.31212468931712</v>
      </c>
      <c r="G27" s="51"/>
      <c r="H27" s="42">
        <f ca="1">Torque!G25</f>
        <v>61.547058777700414</v>
      </c>
      <c r="I27" s="47">
        <f ca="1">ABS(-H27/(T_400*$C26*0.000000001))</f>
        <v>427.26180093007639</v>
      </c>
      <c r="J27" s="47">
        <f ca="1">ABS(-H27/(T_400*$C25*0.000000001))</f>
        <v>4141.373913499373</v>
      </c>
      <c r="K27" s="51"/>
      <c r="L27" s="42">
        <f ca="1">Torque!G39</f>
        <v>1.8051837879533679</v>
      </c>
      <c r="M27" s="47">
        <f ca="1">ABS(-L27/(T_400*$C26*0.000000001))</f>
        <v>12.531648003465335</v>
      </c>
      <c r="N27" s="47">
        <f ca="1">ABS(-L27/(T_400*$C25*0.000000001))</f>
        <v>121.46707246408218</v>
      </c>
      <c r="O27" s="41"/>
    </row>
    <row r="28" spans="1:15">
      <c r="B28" s="61" t="s">
        <v>33</v>
      </c>
      <c r="C28" s="71"/>
      <c r="D28" s="42"/>
      <c r="E28" s="47"/>
      <c r="F28" s="47"/>
      <c r="G28" s="51"/>
      <c r="H28" s="44"/>
      <c r="I28" s="47"/>
      <c r="J28" s="47"/>
      <c r="K28" s="51"/>
      <c r="L28" s="46"/>
      <c r="M28" s="47"/>
      <c r="N28" s="47"/>
      <c r="O28" s="41"/>
    </row>
    <row r="29" spans="1:15">
      <c r="B29" s="69" t="s">
        <v>27</v>
      </c>
      <c r="C29" s="70">
        <f>CMEQ0700x</f>
        <v>1709</v>
      </c>
      <c r="D29" s="42">
        <f>Torque!G13</f>
        <v>0</v>
      </c>
      <c r="E29" s="47"/>
      <c r="F29" s="47">
        <f>ABS(D29/(T_400*$C31*0.000000001))</f>
        <v>0</v>
      </c>
      <c r="G29" s="51">
        <f>ABS(D29/(T_400*$C30*0.000000001))</f>
        <v>0</v>
      </c>
      <c r="H29" s="42">
        <f>Torque!G27</f>
        <v>0</v>
      </c>
      <c r="I29" s="47"/>
      <c r="J29" s="47">
        <f>ABS(H29/(T_400*$C31*0.000000001))</f>
        <v>0</v>
      </c>
      <c r="K29" s="51">
        <f>ABS(H29/(T_400*$C30*0.000000001))</f>
        <v>0</v>
      </c>
      <c r="L29" s="42">
        <f>Torque!G41</f>
        <v>0</v>
      </c>
      <c r="M29" s="47"/>
      <c r="N29" s="47">
        <f>ABS(L29/(T_400*$C31*0.000000001))</f>
        <v>0</v>
      </c>
      <c r="O29" s="41">
        <f>ABS(L29/(T_400*$C30*0.000000001))</f>
        <v>0</v>
      </c>
    </row>
    <row r="30" spans="1:15">
      <c r="B30" s="69" t="s">
        <v>28</v>
      </c>
      <c r="C30" s="70">
        <f>CMEQ0700y</f>
        <v>20513</v>
      </c>
      <c r="D30" s="42">
        <f ca="1">Torque!G14</f>
        <v>-9.0811926542322136E-3</v>
      </c>
      <c r="E30" s="47">
        <f ca="1">ABS(D30/(T_400*$C31*0.000000001))</f>
        <v>0.51035647695720254</v>
      </c>
      <c r="F30" s="47"/>
      <c r="G30" s="51">
        <f ca="1">ABS(D30/(T_400*$C29*0.000000001))</f>
        <v>0.95680640852596699</v>
      </c>
      <c r="H30" s="42">
        <f ca="1">Torque!G28</f>
        <v>-2.9259575392342922E-2</v>
      </c>
      <c r="I30" s="47">
        <f ca="1">ABS(H30/(T_400*$C31*0.000000001))</f>
        <v>1.6443670322906849</v>
      </c>
      <c r="J30" s="47"/>
      <c r="K30" s="51">
        <f ca="1">ABS(H30/(T_400*$C29*0.000000001))</f>
        <v>3.0828273677351405</v>
      </c>
      <c r="L30" s="42">
        <f ca="1">Torque!G42</f>
        <v>-4.9437958130453624E-2</v>
      </c>
      <c r="M30" s="47">
        <f ca="1">ABS(L30/(T_400*$C31*0.000000001))</f>
        <v>2.7783775876241665</v>
      </c>
      <c r="N30" s="47"/>
      <c r="O30" s="41">
        <f ca="1">ABS(L30/(T_400*$C29*0.000000001))</f>
        <v>5.208848326944314</v>
      </c>
    </row>
    <row r="31" spans="1:15">
      <c r="B31" s="69" t="s">
        <v>29</v>
      </c>
      <c r="C31" s="70">
        <f>CMEQ0700z</f>
        <v>3204</v>
      </c>
      <c r="D31" s="42">
        <f ca="1">Torque!G15</f>
        <v>9.0811926542322136E-3</v>
      </c>
      <c r="E31" s="47">
        <f ca="1">ABS(-D31/(T_400*$C30*0.000000001))</f>
        <v>7.9714432417046621E-2</v>
      </c>
      <c r="F31" s="47">
        <f ca="1">ABS(-D31/(T_400*$C29*0.000000001))</f>
        <v>0.95680640852596699</v>
      </c>
      <c r="G31" s="51"/>
      <c r="H31" s="42">
        <f ca="1">Torque!G29</f>
        <v>1.6855684918122633</v>
      </c>
      <c r="I31" s="47">
        <f ca="1">ABS(-H31/(T_400*$C30*0.000000001))</f>
        <v>14.795868862252645</v>
      </c>
      <c r="J31" s="47">
        <f ca="1">ABS(-H31/(T_400*$C29*0.000000001))</f>
        <v>177.59371443615481</v>
      </c>
      <c r="K31" s="51"/>
      <c r="L31" s="42">
        <f ca="1">Torque!G43</f>
        <v>4.9437958130453707E-2</v>
      </c>
      <c r="M31" s="47">
        <f ca="1">ABS(-L31/(T_400*$C30*0.000000001))</f>
        <v>0.43396489010616907</v>
      </c>
      <c r="N31" s="47">
        <f ca="1">ABS(-L31/(T_400*$C29*0.000000001))</f>
        <v>5.2088483269443229</v>
      </c>
      <c r="O31" s="41"/>
    </row>
    <row r="32" spans="1:15">
      <c r="B32" s="61" t="s">
        <v>19</v>
      </c>
      <c r="C32" s="71"/>
      <c r="D32" s="42"/>
      <c r="E32" s="47"/>
      <c r="F32" s="47"/>
      <c r="G32" s="51"/>
      <c r="H32" s="44"/>
      <c r="I32" s="47"/>
      <c r="J32" s="47"/>
      <c r="K32" s="51"/>
      <c r="L32" s="46"/>
      <c r="M32" s="47"/>
      <c r="N32" s="47"/>
      <c r="O32" s="41"/>
    </row>
    <row r="33" spans="2:15">
      <c r="B33" s="69" t="s">
        <v>27</v>
      </c>
      <c r="C33" s="70">
        <f>CMEQ01500x</f>
        <v>1691</v>
      </c>
      <c r="D33" s="42">
        <f>Torque!G17</f>
        <v>0</v>
      </c>
      <c r="E33" s="47"/>
      <c r="F33" s="47">
        <f>ABS(D33/(T_400*$C35*0.000000001))</f>
        <v>0</v>
      </c>
      <c r="G33" s="51">
        <f>ABS(D33/(T_400*$C34*0.000000001))</f>
        <v>0</v>
      </c>
      <c r="H33" s="42">
        <f>Torque!G31</f>
        <v>0</v>
      </c>
      <c r="I33" s="47"/>
      <c r="J33" s="47">
        <f>ABS(H33/(T_400*$C35*0.000000001))</f>
        <v>0</v>
      </c>
      <c r="K33" s="51">
        <f>ABS(H33/(T_400*$C34*0.000000001))</f>
        <v>0</v>
      </c>
      <c r="L33" s="42">
        <f>Torque!G45</f>
        <v>0</v>
      </c>
      <c r="M33" s="47"/>
      <c r="N33" s="47">
        <f>ABS(L33/(T_400*$C35*0.000000001))</f>
        <v>0</v>
      </c>
      <c r="O33" s="41">
        <f>ABS(L33/(T_400*$C34*0.000000001))</f>
        <v>0</v>
      </c>
    </row>
    <row r="34" spans="2:15">
      <c r="B34" s="69" t="s">
        <v>28</v>
      </c>
      <c r="C34" s="70">
        <f>CMEQ01500y</f>
        <v>16148</v>
      </c>
      <c r="D34" s="42">
        <f ca="1">Torque!G18</f>
        <v>-6.3990189908610676E-5</v>
      </c>
      <c r="E34" s="47">
        <f ca="1">ABS(D34/(T_400*$C35*0.000000001))</f>
        <v>2.8950333831269329E-3</v>
      </c>
      <c r="F34" s="47"/>
      <c r="G34" s="51">
        <f ca="1">ABS(D34/(T_400*$C33*0.000000001))</f>
        <v>6.8138574008546372E-3</v>
      </c>
      <c r="H34" s="42">
        <f ca="1">Torque!G32</f>
        <v>-2.0617619923840659E-4</v>
      </c>
      <c r="I34" s="47">
        <f ca="1">ABS(H34/(T_400*$C35*0.000000001))</f>
        <v>9.3277888447256853E-3</v>
      </c>
      <c r="J34" s="47"/>
      <c r="K34" s="51">
        <f ca="1">ABS(H34/(T_400*$C33*0.000000001))</f>
        <v>2.1954228031938632E-2</v>
      </c>
      <c r="L34" s="42">
        <f ca="1">Torque!G46</f>
        <v>-3.4836220856820249E-4</v>
      </c>
      <c r="M34" s="47">
        <f ca="1">ABS(L34/(T_400*$C35*0.000000001))</f>
        <v>1.5760544306324439E-2</v>
      </c>
      <c r="N34" s="47"/>
      <c r="O34" s="41">
        <f ca="1">ABS(L34/(T_400*$C33*0.000000001))</f>
        <v>3.7094598663022622E-2</v>
      </c>
    </row>
    <row r="35" spans="2:15">
      <c r="B35" s="72" t="s">
        <v>29</v>
      </c>
      <c r="C35" s="73">
        <f>CMEQ01500z</f>
        <v>3980</v>
      </c>
      <c r="D35" s="62">
        <f ca="1">Torque!G19</f>
        <v>6.3990189908610676E-5</v>
      </c>
      <c r="E35" s="65">
        <f ca="1">ABS(-D35/(T_400*$C34*0.000000001))</f>
        <v>7.1353931538550863E-4</v>
      </c>
      <c r="F35" s="65">
        <f ca="1">ABS(-D35/(T_400*$C33*0.000000001))</f>
        <v>6.8138574008546372E-3</v>
      </c>
      <c r="G35" s="66"/>
      <c r="H35" s="62">
        <f ca="1">Torque!G33</f>
        <v>1.1877277798392484E-2</v>
      </c>
      <c r="I35" s="65">
        <f ca="1">ABS(-H35/(T_400*$C34*0.000000001))</f>
        <v>0.13244068631476386</v>
      </c>
      <c r="J35" s="65">
        <f ca="1">ABS(-H35/(T_400*$C33*0.000000001))</f>
        <v>1.264726317333416</v>
      </c>
      <c r="K35" s="66"/>
      <c r="L35" s="62">
        <f ca="1">Torque!G47</f>
        <v>3.4836220856819793E-4</v>
      </c>
      <c r="M35" s="65">
        <f ca="1">ABS(-L35/(T_400*$C34*0.000000001))</f>
        <v>3.8845037366342853E-3</v>
      </c>
      <c r="N35" s="65">
        <f ca="1">ABS(-L35/(T_400*$C33*0.000000001))</f>
        <v>3.7094598663022137E-2</v>
      </c>
      <c r="O35" s="64"/>
    </row>
    <row r="36" spans="2:15">
      <c r="B36" s="4"/>
      <c r="C36" s="18"/>
      <c r="D36" s="16"/>
      <c r="E36" s="30"/>
      <c r="F36" s="30"/>
      <c r="G36" s="29"/>
      <c r="H36" s="29"/>
      <c r="I36" s="15"/>
      <c r="J36" s="15"/>
      <c r="K36" s="15"/>
      <c r="L36" s="31"/>
      <c r="M36" s="30"/>
      <c r="N36" s="30"/>
      <c r="O36" s="29"/>
    </row>
    <row r="37" spans="2:15">
      <c r="B37" s="5" t="s">
        <v>240</v>
      </c>
      <c r="C37" s="18"/>
      <c r="D37" s="16"/>
      <c r="E37" s="30"/>
      <c r="F37" s="30"/>
      <c r="G37" s="29"/>
      <c r="H37" s="29"/>
      <c r="I37" s="15"/>
      <c r="J37" s="15"/>
      <c r="K37" s="15"/>
      <c r="L37" s="31"/>
      <c r="M37" s="30"/>
      <c r="N37" s="30"/>
      <c r="O37" s="29"/>
    </row>
    <row r="38" spans="2:15">
      <c r="B38" s="52"/>
      <c r="C38" s="67"/>
      <c r="D38" s="55"/>
      <c r="E38" s="53" t="s">
        <v>234</v>
      </c>
      <c r="F38" s="53"/>
      <c r="G38" s="54"/>
      <c r="H38" s="55"/>
      <c r="I38" s="53" t="s">
        <v>235</v>
      </c>
      <c r="J38" s="53"/>
      <c r="K38" s="54"/>
    </row>
    <row r="39" spans="2:15" ht="30">
      <c r="B39" s="33" t="s">
        <v>79</v>
      </c>
      <c r="C39" s="35" t="s">
        <v>177</v>
      </c>
      <c r="D39" s="49" t="s">
        <v>179</v>
      </c>
      <c r="E39" s="56" t="s">
        <v>180</v>
      </c>
      <c r="F39" s="34" t="s">
        <v>181</v>
      </c>
      <c r="G39" s="50" t="s">
        <v>182</v>
      </c>
      <c r="H39" s="49" t="s">
        <v>179</v>
      </c>
      <c r="I39" s="34" t="s">
        <v>180</v>
      </c>
      <c r="J39" s="34" t="s">
        <v>181</v>
      </c>
      <c r="K39" s="50" t="s">
        <v>182</v>
      </c>
    </row>
    <row r="40" spans="2:15" ht="17.25">
      <c r="B40" s="36" t="s">
        <v>239</v>
      </c>
      <c r="C40" s="38" t="s">
        <v>178</v>
      </c>
      <c r="D40" s="36" t="s">
        <v>94</v>
      </c>
      <c r="E40" s="37" t="s">
        <v>238</v>
      </c>
      <c r="F40" s="37" t="s">
        <v>238</v>
      </c>
      <c r="G40" s="38" t="s">
        <v>238</v>
      </c>
      <c r="H40" s="36" t="s">
        <v>94</v>
      </c>
      <c r="I40" s="37" t="s">
        <v>238</v>
      </c>
      <c r="J40" s="37" t="s">
        <v>238</v>
      </c>
      <c r="K40" s="38" t="s">
        <v>238</v>
      </c>
    </row>
    <row r="41" spans="2:15">
      <c r="B41" s="61" t="s">
        <v>33</v>
      </c>
      <c r="C41" s="71"/>
      <c r="D41" s="42"/>
      <c r="E41" s="40"/>
      <c r="F41" s="40"/>
      <c r="G41" s="41"/>
      <c r="H41" s="39"/>
      <c r="I41" s="59"/>
      <c r="J41" s="59"/>
      <c r="K41" s="58"/>
    </row>
    <row r="42" spans="2:15">
      <c r="B42" s="69" t="s">
        <v>27</v>
      </c>
      <c r="C42" s="70">
        <f>CMEQ0700x</f>
        <v>1709</v>
      </c>
      <c r="D42" s="42">
        <f ca="1">Torque!G63</f>
        <v>-1.2809213421797778E-3</v>
      </c>
      <c r="E42" s="40"/>
      <c r="F42" s="40">
        <f ca="1">ABS(D42/(T_400*$C44*0.000000001))</f>
        <v>7.1986855509501721E-2</v>
      </c>
      <c r="G42" s="41">
        <f ca="1">ABS(D42/(T_400*$C43*0.000000001))</f>
        <v>1.1243888512282139E-2</v>
      </c>
      <c r="H42" s="61">
        <f ca="1">Torque!G73</f>
        <v>-1.2809213421797778E-3</v>
      </c>
      <c r="I42" s="45"/>
      <c r="J42" s="45">
        <f ca="1">ABS(H42/(T_400*$C44*0.000000001))</f>
        <v>7.1986855509501721E-2</v>
      </c>
      <c r="K42" s="43">
        <f ca="1">ABS(H42/(T_400*$C43*0.000000001))</f>
        <v>1.1243888512282139E-2</v>
      </c>
    </row>
    <row r="43" spans="2:15">
      <c r="B43" s="69" t="s">
        <v>28</v>
      </c>
      <c r="C43" s="70">
        <f>CMEQ0700y</f>
        <v>20513</v>
      </c>
      <c r="D43" s="42">
        <f ca="1">Torque!G64</f>
        <v>-9.4656140203166608E-2</v>
      </c>
      <c r="E43" s="40">
        <f ca="1">ABS(D43/(T_400*$C44*0.000000001))</f>
        <v>5.3196068045028673</v>
      </c>
      <c r="F43" s="40"/>
      <c r="G43" s="41">
        <f ca="1">ABS(D43/(T_400*$C42*0.000000001))</f>
        <v>9.9730954953933235</v>
      </c>
      <c r="H43" s="61">
        <f ca="1">Torque!G74</f>
        <v>-9.7645085213666785E-2</v>
      </c>
      <c r="I43" s="45">
        <f ca="1">ABS(H43/(T_400*$C44*0.000000001))</f>
        <v>5.4875833581845876</v>
      </c>
      <c r="J43" s="45"/>
      <c r="K43" s="43">
        <f ca="1">ABS(H43/(T_400*$C42*0.000000001))</f>
        <v>10.288014675028334</v>
      </c>
    </row>
    <row r="44" spans="2:15">
      <c r="B44" s="69" t="s">
        <v>29</v>
      </c>
      <c r="C44" s="70">
        <f>CMEQ0700z</f>
        <v>3204</v>
      </c>
      <c r="D44" s="42">
        <f ca="1">Torque!G65</f>
        <v>0.21249242218106729</v>
      </c>
      <c r="E44" s="40">
        <f ca="1">ABS(-D44/(T_400*$C43*0.000000001))</f>
        <v>1.8652520073112953</v>
      </c>
      <c r="F44" s="40">
        <f ca="1">ABS(-D44/(T_400*$C42*0.000000001))</f>
        <v>22.388481232285901</v>
      </c>
      <c r="G44" s="41"/>
      <c r="H44" s="61">
        <f ca="1">Torque!G75</f>
        <v>0.46082393680345679</v>
      </c>
      <c r="I44" s="45">
        <f ca="1">ABS(-H44/(T_400*$C43*0.000000001))</f>
        <v>4.045098476063802</v>
      </c>
      <c r="J44" s="45">
        <f ca="1">ABS(-H44/(T_400*$C42*0.000000001))</f>
        <v>48.553016406961248</v>
      </c>
      <c r="K44" s="43"/>
    </row>
    <row r="45" spans="2:15">
      <c r="B45" s="61" t="s">
        <v>19</v>
      </c>
      <c r="C45" s="71"/>
      <c r="D45" s="42"/>
      <c r="E45" s="40"/>
      <c r="F45" s="40"/>
      <c r="G45" s="41"/>
      <c r="H45" s="39"/>
      <c r="I45" s="59"/>
      <c r="J45" s="59"/>
      <c r="K45" s="58"/>
    </row>
    <row r="46" spans="2:15">
      <c r="B46" s="69" t="s">
        <v>27</v>
      </c>
      <c r="C46" s="70">
        <f>CMEQ01500x</f>
        <v>1691</v>
      </c>
      <c r="D46" s="42">
        <f ca="1">Torque!G67</f>
        <v>-8.4548890764354494E-6</v>
      </c>
      <c r="E46" s="40"/>
      <c r="F46" s="40">
        <f ca="1">ABS(D46/(T_400*$C48*0.000000001))</f>
        <v>3.8251466610543939E-4</v>
      </c>
      <c r="G46" s="41">
        <f ca="1">ABS(D46/(T_400*$C47*0.000000001))</f>
        <v>9.4278447553854878E-5</v>
      </c>
      <c r="H46" s="61">
        <f ca="1">Torque!G77</f>
        <v>-8.4548890764354494E-6</v>
      </c>
      <c r="I46" s="45"/>
      <c r="J46" s="45">
        <f ca="1">ABS(H46/(T_400*$C48*0.000000001))</f>
        <v>3.8251466610543939E-4</v>
      </c>
      <c r="K46" s="43">
        <f ca="1">ABS(H46/(T_400*$C47*0.000000001))</f>
        <v>9.4278447553854878E-5</v>
      </c>
    </row>
    <row r="47" spans="2:15">
      <c r="B47" s="69" t="s">
        <v>28</v>
      </c>
      <c r="C47" s="70">
        <f>CMEQ01500y</f>
        <v>16148</v>
      </c>
      <c r="D47" s="42">
        <f ca="1">Torque!G68</f>
        <v>-3.9922744647052753E-4</v>
      </c>
      <c r="E47" s="40">
        <f ca="1">ABS(D47/(T_400*$C48*0.000000001))</f>
        <v>1.8061780823644246E-2</v>
      </c>
      <c r="F47" s="40"/>
      <c r="G47" s="41">
        <f ca="1">ABS(D47/(T_400*$C46*0.000000001))</f>
        <v>4.2510873848671846E-2</v>
      </c>
      <c r="H47" s="61">
        <f ca="1">Torque!G78</f>
        <v>-4.0159490623900232E-4</v>
      </c>
      <c r="I47" s="45">
        <f ca="1">ABS(H47/(T_400*$C48*0.000000001))</f>
        <v>1.8168889039336885E-2</v>
      </c>
      <c r="J47" s="45"/>
      <c r="K47" s="43">
        <f ca="1">ABS(H47/(T_400*$C46*0.000000001))</f>
        <v>4.2762967697552216E-2</v>
      </c>
    </row>
    <row r="48" spans="2:15">
      <c r="B48" s="72" t="s">
        <v>29</v>
      </c>
      <c r="C48" s="73">
        <f>CMEQ01500z</f>
        <v>3980</v>
      </c>
      <c r="D48" s="62">
        <f ca="1">Torque!G69</f>
        <v>1.6833716619911687E-4</v>
      </c>
      <c r="E48" s="63">
        <f ca="1">ABS(-D48/(T_400*$C47*0.000000001))</f>
        <v>1.8770875113075956E-3</v>
      </c>
      <c r="F48" s="63">
        <f ca="1">ABS(-D48/(T_400*$C46*0.000000001))</f>
        <v>1.7925020184858101E-2</v>
      </c>
      <c r="G48" s="64"/>
      <c r="H48" s="74">
        <f ca="1">Torque!G79</f>
        <v>3.6503361529656512E-4</v>
      </c>
      <c r="I48" s="48">
        <f ca="1">ABS(-H48/(T_400*$C47*0.000000001))</f>
        <v>4.0704026089530216E-3</v>
      </c>
      <c r="J48" s="48">
        <f ca="1">ABS(-H48/(T_400*$C46*0.000000001))</f>
        <v>3.8869817462669064E-2</v>
      </c>
      <c r="K48" s="60"/>
    </row>
    <row r="49" spans="2:15">
      <c r="G49" s="15"/>
      <c r="H49" s="15"/>
    </row>
    <row r="50" spans="2:15">
      <c r="B50" s="5" t="s">
        <v>242</v>
      </c>
      <c r="G50" s="15"/>
      <c r="H50" s="15"/>
    </row>
    <row r="51" spans="2:15">
      <c r="B51" s="52"/>
      <c r="C51" s="67"/>
      <c r="D51" s="52"/>
      <c r="E51" s="53" t="s">
        <v>233</v>
      </c>
      <c r="F51" s="53"/>
      <c r="G51" s="54"/>
      <c r="H51" s="55"/>
      <c r="I51" s="53" t="s">
        <v>234</v>
      </c>
      <c r="J51" s="53"/>
      <c r="K51" s="54"/>
      <c r="L51" s="55"/>
      <c r="M51" s="53" t="s">
        <v>235</v>
      </c>
      <c r="N51" s="53"/>
      <c r="O51" s="54"/>
    </row>
    <row r="52" spans="2:15" ht="30">
      <c r="B52" s="33" t="s">
        <v>79</v>
      </c>
      <c r="C52" s="35" t="s">
        <v>177</v>
      </c>
      <c r="D52" s="49" t="s">
        <v>179</v>
      </c>
      <c r="E52" s="34" t="s">
        <v>180</v>
      </c>
      <c r="F52" s="34" t="s">
        <v>181</v>
      </c>
      <c r="G52" s="50" t="s">
        <v>182</v>
      </c>
      <c r="H52" s="49" t="s">
        <v>179</v>
      </c>
      <c r="I52" s="56" t="s">
        <v>180</v>
      </c>
      <c r="J52" s="34" t="s">
        <v>181</v>
      </c>
      <c r="K52" s="50" t="s">
        <v>182</v>
      </c>
      <c r="L52" s="49" t="s">
        <v>179</v>
      </c>
      <c r="M52" s="34" t="s">
        <v>180</v>
      </c>
      <c r="N52" s="34" t="s">
        <v>181</v>
      </c>
      <c r="O52" s="50" t="s">
        <v>182</v>
      </c>
    </row>
    <row r="53" spans="2:15" ht="17.25">
      <c r="B53" s="36" t="s">
        <v>239</v>
      </c>
      <c r="C53" s="38" t="s">
        <v>178</v>
      </c>
      <c r="D53" s="36" t="s">
        <v>94</v>
      </c>
      <c r="E53" s="37" t="s">
        <v>238</v>
      </c>
      <c r="F53" s="37" t="s">
        <v>238</v>
      </c>
      <c r="G53" s="38" t="s">
        <v>238</v>
      </c>
      <c r="H53" s="36" t="s">
        <v>94</v>
      </c>
      <c r="I53" s="37" t="s">
        <v>238</v>
      </c>
      <c r="J53" s="37" t="s">
        <v>238</v>
      </c>
      <c r="K53" s="38" t="s">
        <v>238</v>
      </c>
      <c r="L53" s="36" t="s">
        <v>94</v>
      </c>
      <c r="M53" s="37" t="s">
        <v>238</v>
      </c>
      <c r="N53" s="37" t="s">
        <v>238</v>
      </c>
      <c r="O53" s="38" t="s">
        <v>238</v>
      </c>
    </row>
    <row r="54" spans="2:15">
      <c r="B54" s="61" t="s">
        <v>5</v>
      </c>
      <c r="C54" s="58"/>
      <c r="D54" s="61"/>
      <c r="E54" s="57"/>
      <c r="F54" s="57"/>
      <c r="G54" s="41"/>
      <c r="H54" s="39"/>
      <c r="I54" s="57"/>
      <c r="J54" s="57"/>
      <c r="K54" s="58"/>
      <c r="L54" s="61"/>
      <c r="M54" s="57"/>
      <c r="N54" s="57"/>
      <c r="O54" s="58"/>
    </row>
    <row r="55" spans="2:15">
      <c r="B55" s="69" t="s">
        <v>27</v>
      </c>
      <c r="C55" s="70">
        <f>CMEQ12400x</f>
        <v>2123</v>
      </c>
      <c r="D55" s="42">
        <f>Torque!G9</f>
        <v>0</v>
      </c>
      <c r="E55" s="40"/>
      <c r="F55" s="40">
        <f>ABS(D55/(T_400*$C57*0.000000001))</f>
        <v>0</v>
      </c>
      <c r="G55" s="41">
        <f>ABS(D55/(T_400*$C56*0.000000001))</f>
        <v>0</v>
      </c>
      <c r="H55" s="42">
        <f>Torque!G23</f>
        <v>0</v>
      </c>
      <c r="I55" s="40"/>
      <c r="J55" s="40">
        <f>ABS(H55/(T_400*$C57*0.000000001))</f>
        <v>0</v>
      </c>
      <c r="K55" s="41">
        <f>ABS(H55/(T_400*$C56*0.000000001))</f>
        <v>0</v>
      </c>
      <c r="L55" s="42">
        <f>Torque!G37</f>
        <v>0</v>
      </c>
      <c r="M55" s="40"/>
      <c r="N55" s="40">
        <f>ABS(L55/(T_400*$C57*0.000000001))</f>
        <v>0</v>
      </c>
      <c r="O55" s="41">
        <f>ABS(L55/(T_400*$C56*0.000000001))</f>
        <v>0</v>
      </c>
    </row>
    <row r="56" spans="2:15">
      <c r="B56" s="69" t="s">
        <v>28</v>
      </c>
      <c r="C56" s="70">
        <f>CMEQ12400y</f>
        <v>23251</v>
      </c>
      <c r="D56" s="42">
        <f ca="1">Torque!G10</f>
        <v>-0.3315918046502635</v>
      </c>
      <c r="E56" s="47">
        <f ca="1">ABS(D56/(T_400*$C57*0.000000001))</f>
        <v>15.16952379791987</v>
      </c>
      <c r="F56" s="47"/>
      <c r="G56" s="51">
        <f ca="1">ABS(D56/(T_400*$C55*0.000000001))</f>
        <v>28.123997017716729</v>
      </c>
      <c r="H56" s="42">
        <f ca="1">Torque!G24</f>
        <v>-1.06838779630182</v>
      </c>
      <c r="I56" s="47">
        <f ca="1">ABS(H56/(T_400*$C57*0.000000001))</f>
        <v>48.876160007939291</v>
      </c>
      <c r="J56" s="47"/>
      <c r="K56" s="51">
        <f ca="1">ABS(H56/(T_400*$C55*0.000000001))</f>
        <v>90.615433721737659</v>
      </c>
      <c r="L56" s="42">
        <f ca="1">Torque!G38</f>
        <v>-1.8051837879533765</v>
      </c>
      <c r="M56" s="47">
        <f ca="1">ABS(L56/(T_400*$C57*0.000000001))</f>
        <v>82.582796217958702</v>
      </c>
      <c r="N56" s="47"/>
      <c r="O56" s="41">
        <f ca="1">ABS(L56/(T_400*$C55*0.000000001))</f>
        <v>153.10687042575859</v>
      </c>
    </row>
    <row r="57" spans="2:15">
      <c r="B57" s="69" t="s">
        <v>29</v>
      </c>
      <c r="C57" s="70">
        <f>CMEQ12400z</f>
        <v>3936</v>
      </c>
      <c r="D57" s="42">
        <f ca="1">Torque!G11</f>
        <v>0.3315918046502635</v>
      </c>
      <c r="E57" s="47">
        <f ca="1">ABS(-D57/(T_400*$C56*0.000000001))</f>
        <v>2.5679431279778338</v>
      </c>
      <c r="F57" s="47">
        <f ca="1">ABS(-D57/(T_400*$C55*0.000000001))</f>
        <v>28.123997017716729</v>
      </c>
      <c r="G57" s="51"/>
      <c r="H57" s="42">
        <f ca="1">Torque!G25</f>
        <v>61.547058777700414</v>
      </c>
      <c r="I57" s="47">
        <f ca="1">ABS(-H57/(T_400*$C56*0.000000001))</f>
        <v>476.63827760200951</v>
      </c>
      <c r="J57" s="47">
        <f ca="1">ABS(-H57/(T_400*$C55*0.000000001))</f>
        <v>5220.1208631767886</v>
      </c>
      <c r="K57" s="51"/>
      <c r="L57" s="42">
        <f ca="1">Torque!G39</f>
        <v>1.8051837879533679</v>
      </c>
      <c r="M57" s="47">
        <f ca="1">ABS(-L57/(T_400*$C56*0.000000001))</f>
        <v>13.979866926750846</v>
      </c>
      <c r="N57" s="47">
        <f ca="1">ABS(-L57/(T_400*$C55*0.000000001))</f>
        <v>153.10687042575785</v>
      </c>
      <c r="O57" s="41"/>
    </row>
    <row r="58" spans="2:15">
      <c r="B58" s="61" t="s">
        <v>33</v>
      </c>
      <c r="C58" s="71"/>
      <c r="D58" s="42"/>
      <c r="E58" s="47"/>
      <c r="F58" s="47"/>
      <c r="G58" s="51"/>
      <c r="H58" s="44"/>
      <c r="I58" s="47"/>
      <c r="J58" s="47"/>
      <c r="K58" s="51"/>
      <c r="L58" s="46"/>
      <c r="M58" s="47"/>
      <c r="N58" s="47"/>
      <c r="O58" s="41"/>
    </row>
    <row r="59" spans="2:15">
      <c r="B59" s="69" t="s">
        <v>27</v>
      </c>
      <c r="C59" s="70">
        <f>CMEQ12700x</f>
        <v>1709</v>
      </c>
      <c r="D59" s="42">
        <f>Torque!G13</f>
        <v>0</v>
      </c>
      <c r="E59" s="47"/>
      <c r="F59" s="47">
        <f>ABS(D59/(T_400*$C61*0.000000001))</f>
        <v>0</v>
      </c>
      <c r="G59" s="51">
        <f>ABS(D59/(T_400*$C60*0.000000001))</f>
        <v>0</v>
      </c>
      <c r="H59" s="42">
        <f>Torque!G27</f>
        <v>0</v>
      </c>
      <c r="I59" s="47"/>
      <c r="J59" s="47">
        <f>ABS(H59/(T_400*$C61*0.000000001))</f>
        <v>0</v>
      </c>
      <c r="K59" s="51">
        <f>ABS(H59/(T_400*$C60*0.000000001))</f>
        <v>0</v>
      </c>
      <c r="L59" s="42">
        <f>Torque!G41</f>
        <v>0</v>
      </c>
      <c r="M59" s="47"/>
      <c r="N59" s="47">
        <f>ABS(L59/(T_400*$C61*0.000000001))</f>
        <v>0</v>
      </c>
      <c r="O59" s="41">
        <f>ABS(L59/(T_400*$C60*0.000000001))</f>
        <v>0</v>
      </c>
    </row>
    <row r="60" spans="2:15">
      <c r="B60" s="69" t="s">
        <v>28</v>
      </c>
      <c r="C60" s="70">
        <f>CMEQ12700y</f>
        <v>20513</v>
      </c>
      <c r="D60" s="42">
        <f ca="1">Torque!G14</f>
        <v>-9.0811926542322136E-3</v>
      </c>
      <c r="E60" s="47">
        <f ca="1">ABS(D60/(T_400*$C61*0.000000001))</f>
        <v>0.51035647695720254</v>
      </c>
      <c r="F60" s="47"/>
      <c r="G60" s="51">
        <f ca="1">ABS(D60/(T_400*$C59*0.000000001))</f>
        <v>0.95680640852596699</v>
      </c>
      <c r="H60" s="42">
        <f ca="1">Torque!G28</f>
        <v>-2.9259575392342922E-2</v>
      </c>
      <c r="I60" s="47">
        <f ca="1">ABS(H60/(T_400*$C61*0.000000001))</f>
        <v>1.6443670322906849</v>
      </c>
      <c r="J60" s="47"/>
      <c r="K60" s="51">
        <f ca="1">ABS(H60/(T_400*$C59*0.000000001))</f>
        <v>3.0828273677351405</v>
      </c>
      <c r="L60" s="42">
        <f ca="1">Torque!G42</f>
        <v>-4.9437958130453624E-2</v>
      </c>
      <c r="M60" s="47">
        <f ca="1">ABS(L60/(T_400*$C61*0.000000001))</f>
        <v>2.7783775876241665</v>
      </c>
      <c r="N60" s="47"/>
      <c r="O60" s="41">
        <f ca="1">ABS(L60/(T_400*$C59*0.000000001))</f>
        <v>5.208848326944314</v>
      </c>
    </row>
    <row r="61" spans="2:15">
      <c r="B61" s="69" t="s">
        <v>29</v>
      </c>
      <c r="C61" s="70">
        <f>CMEQ12700z</f>
        <v>3204</v>
      </c>
      <c r="D61" s="42">
        <f ca="1">Torque!G15</f>
        <v>9.0811926542322136E-3</v>
      </c>
      <c r="E61" s="47">
        <f ca="1">ABS(-D61/(T_400*$C60*0.000000001))</f>
        <v>7.9714432417046621E-2</v>
      </c>
      <c r="F61" s="47">
        <f ca="1">ABS(-D61/(T_400*$C59*0.000000001))</f>
        <v>0.95680640852596699</v>
      </c>
      <c r="G61" s="51"/>
      <c r="H61" s="42">
        <f ca="1">Torque!G29</f>
        <v>1.6855684918122633</v>
      </c>
      <c r="I61" s="47">
        <f ca="1">ABS(-H61/(T_400*$C60*0.000000001))</f>
        <v>14.795868862252645</v>
      </c>
      <c r="J61" s="47">
        <f ca="1">ABS(-H61/(T_400*$C59*0.000000001))</f>
        <v>177.59371443615481</v>
      </c>
      <c r="K61" s="51"/>
      <c r="L61" s="42">
        <f ca="1">Torque!G43</f>
        <v>4.9437958130453707E-2</v>
      </c>
      <c r="M61" s="47">
        <f ca="1">ABS(-L61/(T_400*$C60*0.000000001))</f>
        <v>0.43396489010616907</v>
      </c>
      <c r="N61" s="47">
        <f ca="1">ABS(-L61/(T_400*$C59*0.000000001))</f>
        <v>5.2088483269443229</v>
      </c>
      <c r="O61" s="41"/>
    </row>
    <row r="62" spans="2:15">
      <c r="B62" s="61" t="s">
        <v>19</v>
      </c>
      <c r="C62" s="71"/>
      <c r="D62" s="42"/>
      <c r="E62" s="47"/>
      <c r="F62" s="47"/>
      <c r="G62" s="51"/>
      <c r="H62" s="44"/>
      <c r="I62" s="47"/>
      <c r="J62" s="47"/>
      <c r="K62" s="51"/>
      <c r="L62" s="46"/>
      <c r="M62" s="47"/>
      <c r="N62" s="47"/>
      <c r="O62" s="41"/>
    </row>
    <row r="63" spans="2:15">
      <c r="B63" s="69" t="s">
        <v>27</v>
      </c>
      <c r="C63" s="70">
        <f>CMEQ121500x</f>
        <v>1112</v>
      </c>
      <c r="D63" s="42">
        <f>Torque!G17</f>
        <v>0</v>
      </c>
      <c r="E63" s="47"/>
      <c r="F63" s="47">
        <f>ABS(D63/(T_400*$C65*0.000000001))</f>
        <v>0</v>
      </c>
      <c r="G63" s="51">
        <f>ABS(D63/(T_400*$C64*0.000000001))</f>
        <v>0</v>
      </c>
      <c r="H63" s="42">
        <f>Torque!G31</f>
        <v>0</v>
      </c>
      <c r="I63" s="47"/>
      <c r="J63" s="47">
        <f>ABS(H63/(T_400*$C65*0.000000001))</f>
        <v>0</v>
      </c>
      <c r="K63" s="51">
        <f>ABS(H63/(T_400*$C64*0.000000001))</f>
        <v>0</v>
      </c>
      <c r="L63" s="42">
        <f>Torque!G45</f>
        <v>0</v>
      </c>
      <c r="M63" s="47"/>
      <c r="N63" s="47">
        <f>ABS(L63/(T_400*$C65*0.000000001))</f>
        <v>0</v>
      </c>
      <c r="O63" s="41">
        <f>ABS(L63/(T_400*$C64*0.000000001))</f>
        <v>0</v>
      </c>
    </row>
    <row r="64" spans="2:15">
      <c r="B64" s="69" t="s">
        <v>28</v>
      </c>
      <c r="C64" s="70">
        <f>CMEQ121500y</f>
        <v>14764</v>
      </c>
      <c r="D64" s="42">
        <f ca="1">Torque!G18</f>
        <v>-6.3990189908610676E-5</v>
      </c>
      <c r="E64" s="47">
        <f ca="1">ABS(D64/(T_400*$C65*0.000000001))</f>
        <v>5.7239110108520588E-3</v>
      </c>
      <c r="F64" s="47"/>
      <c r="G64" s="51">
        <f ca="1">ABS(D64/(T_400*$C63*0.000000001))</f>
        <v>1.0361720202198915E-2</v>
      </c>
      <c r="H64" s="42">
        <f ca="1">Torque!G32</f>
        <v>-2.0617619923840659E-4</v>
      </c>
      <c r="I64" s="47">
        <f ca="1">ABS(H64/(T_400*$C65*0.000000001))</f>
        <v>1.8442424044713478E-2</v>
      </c>
      <c r="J64" s="47"/>
      <c r="K64" s="51">
        <f ca="1">ABS(H64/(T_400*$C63*0.000000001))</f>
        <v>3.3385431296769991E-2</v>
      </c>
      <c r="L64" s="42">
        <f ca="1">Torque!G46</f>
        <v>-3.4836220856820249E-4</v>
      </c>
      <c r="M64" s="47">
        <f ca="1">ABS(L64/(T_400*$C65*0.000000001))</f>
        <v>3.1160937078574896E-2</v>
      </c>
      <c r="N64" s="47"/>
      <c r="O64" s="41">
        <f ca="1">ABS(L64/(T_400*$C63*0.000000001))</f>
        <v>5.6409142391341066E-2</v>
      </c>
    </row>
    <row r="65" spans="2:15">
      <c r="B65" s="72" t="s">
        <v>29</v>
      </c>
      <c r="C65" s="73">
        <f>CMEQ121500z</f>
        <v>2013</v>
      </c>
      <c r="D65" s="42">
        <f ca="1">Torque!G19</f>
        <v>6.3990189908610676E-5</v>
      </c>
      <c r="E65" s="65">
        <f ca="1">ABS(-D65/(T_400*$C64*0.000000001))</f>
        <v>7.8042758499357852E-4</v>
      </c>
      <c r="F65" s="65">
        <f ca="1">ABS(-D65/(T_400*$C63*0.000000001))</f>
        <v>1.0361720202198915E-2</v>
      </c>
      <c r="G65" s="66"/>
      <c r="H65" s="62">
        <f ca="1">Torque!G33</f>
        <v>1.1877277798392484E-2</v>
      </c>
      <c r="I65" s="65">
        <f ca="1">ABS(-H65/(T_400*$C64*0.000000001))</f>
        <v>0.14485587934237382</v>
      </c>
      <c r="J65" s="65">
        <f ca="1">ABS(-H65/(T_400*$C63*0.000000001))</f>
        <v>1.923248383642812</v>
      </c>
      <c r="K65" s="66"/>
      <c r="L65" s="62">
        <f ca="1">Torque!G47</f>
        <v>3.4836220856819793E-4</v>
      </c>
      <c r="M65" s="65">
        <f ca="1">ABS(-L65/(T_400*$C64*0.000000001))</f>
        <v>4.2486430736365785E-3</v>
      </c>
      <c r="N65" s="65">
        <f ca="1">ABS(-L65/(T_400*$C63*0.000000001))</f>
        <v>5.6409142391340331E-2</v>
      </c>
      <c r="O65" s="64"/>
    </row>
    <row r="66" spans="2:15">
      <c r="B66" s="4"/>
      <c r="C66" s="18"/>
      <c r="D66" s="16"/>
      <c r="E66" s="30"/>
      <c r="F66" s="30"/>
      <c r="G66" s="29"/>
      <c r="H66" s="29"/>
      <c r="I66" s="15"/>
      <c r="J66" s="15"/>
      <c r="K66" s="15"/>
      <c r="L66" s="31"/>
      <c r="M66" s="30"/>
      <c r="N66" s="30"/>
      <c r="O66" s="29"/>
    </row>
    <row r="67" spans="2:15">
      <c r="B67" s="5" t="s">
        <v>241</v>
      </c>
      <c r="C67" s="18"/>
      <c r="D67" s="16"/>
      <c r="E67" s="30"/>
      <c r="F67" s="30"/>
      <c r="G67" s="29"/>
      <c r="H67" s="29"/>
      <c r="I67" s="15"/>
      <c r="J67" s="15"/>
      <c r="K67" s="15"/>
      <c r="L67" s="31"/>
      <c r="M67" s="30"/>
      <c r="N67" s="30"/>
      <c r="O67" s="29"/>
    </row>
    <row r="68" spans="2:15">
      <c r="B68" s="52"/>
      <c r="C68" s="67"/>
      <c r="D68" s="55"/>
      <c r="E68" s="53" t="s">
        <v>234</v>
      </c>
      <c r="F68" s="53"/>
      <c r="G68" s="54"/>
      <c r="H68" s="55"/>
      <c r="I68" s="53" t="s">
        <v>235</v>
      </c>
      <c r="J68" s="53"/>
      <c r="K68" s="54"/>
    </row>
    <row r="69" spans="2:15" ht="30">
      <c r="B69" s="33" t="s">
        <v>79</v>
      </c>
      <c r="C69" s="35" t="s">
        <v>177</v>
      </c>
      <c r="D69" s="49" t="s">
        <v>179</v>
      </c>
      <c r="E69" s="56" t="s">
        <v>180</v>
      </c>
      <c r="F69" s="34" t="s">
        <v>181</v>
      </c>
      <c r="G69" s="50" t="s">
        <v>182</v>
      </c>
      <c r="H69" s="49" t="s">
        <v>179</v>
      </c>
      <c r="I69" s="34" t="s">
        <v>180</v>
      </c>
      <c r="J69" s="34" t="s">
        <v>181</v>
      </c>
      <c r="K69" s="50" t="s">
        <v>182</v>
      </c>
    </row>
    <row r="70" spans="2:15" ht="17.25">
      <c r="B70" s="36" t="s">
        <v>239</v>
      </c>
      <c r="C70" s="38" t="s">
        <v>178</v>
      </c>
      <c r="D70" s="36" t="s">
        <v>94</v>
      </c>
      <c r="E70" s="37" t="s">
        <v>238</v>
      </c>
      <c r="F70" s="37" t="s">
        <v>238</v>
      </c>
      <c r="G70" s="38" t="s">
        <v>238</v>
      </c>
      <c r="H70" s="36" t="s">
        <v>94</v>
      </c>
      <c r="I70" s="37" t="s">
        <v>238</v>
      </c>
      <c r="J70" s="37" t="s">
        <v>238</v>
      </c>
      <c r="K70" s="38" t="s">
        <v>238</v>
      </c>
    </row>
    <row r="71" spans="2:15">
      <c r="B71" s="61" t="s">
        <v>33</v>
      </c>
      <c r="C71" s="71"/>
      <c r="D71" s="42"/>
      <c r="E71" s="40"/>
      <c r="F71" s="40"/>
      <c r="G71" s="41"/>
      <c r="H71" s="39"/>
      <c r="I71" s="59"/>
      <c r="J71" s="59"/>
      <c r="K71" s="58"/>
    </row>
    <row r="72" spans="2:15">
      <c r="B72" s="69" t="s">
        <v>27</v>
      </c>
      <c r="C72" s="70">
        <f>CMEQ12700x</f>
        <v>1709</v>
      </c>
      <c r="D72" s="42">
        <f ca="1">Torque!G93</f>
        <v>-9.0047194529334167E-4</v>
      </c>
      <c r="E72" s="40"/>
      <c r="F72" s="40">
        <f ca="1">ABS(D72/(T_400*$C74*0.000000001))</f>
        <v>5.0605873820387878E-2</v>
      </c>
      <c r="G72" s="41">
        <f ca="1">ABS(D72/(T_400*$C73*0.000000001))</f>
        <v>7.904315298616623E-3</v>
      </c>
      <c r="H72" s="61">
        <f ca="1">Torque!G103</f>
        <v>-9.0047194529334167E-4</v>
      </c>
      <c r="I72" s="45"/>
      <c r="J72" s="45">
        <f ca="1">ABS(H72/(T_400*$C74*0.000000001))</f>
        <v>5.0605873820387878E-2</v>
      </c>
      <c r="K72" s="43">
        <f ca="1">ABS(H72/(T_400*$C73*0.000000001))</f>
        <v>7.904315298616623E-3</v>
      </c>
    </row>
    <row r="73" spans="2:15">
      <c r="B73" s="69" t="s">
        <v>28</v>
      </c>
      <c r="C73" s="70">
        <f>CMEQ12700y</f>
        <v>20513</v>
      </c>
      <c r="D73" s="42">
        <f ca="1">Torque!G94</f>
        <v>-9.4555762535931037E-2</v>
      </c>
      <c r="E73" s="40">
        <f ca="1">ABS(D73/(T_400*$C74*0.000000001))</f>
        <v>5.313965652006047</v>
      </c>
      <c r="F73" s="40"/>
      <c r="G73" s="41">
        <f ca="1">ABS(D73/(T_400*$C72*0.000000001))</f>
        <v>9.9625195722805024</v>
      </c>
      <c r="H73" s="61">
        <f ca="1">Torque!G104</f>
        <v>-9.7541537933482636E-2</v>
      </c>
      <c r="I73" s="45">
        <f ca="1">ABS(H73/(T_400*$C74*0.000000001))</f>
        <v>5.4817640757262796</v>
      </c>
      <c r="J73" s="45"/>
      <c r="K73" s="43">
        <f ca="1">ABS(H73/(T_400*$C72*0.000000001))</f>
        <v>10.277104797324169</v>
      </c>
    </row>
    <row r="74" spans="2:15">
      <c r="B74" s="69" t="s">
        <v>29</v>
      </c>
      <c r="C74" s="70">
        <f>CMEQ12700z</f>
        <v>3204</v>
      </c>
      <c r="D74" s="42">
        <f ca="1">Torque!G95</f>
        <v>0.19574465489584664</v>
      </c>
      <c r="E74" s="40">
        <f ca="1">ABS(-D74/(T_400*$C73*0.000000001))</f>
        <v>1.7182406163821575</v>
      </c>
      <c r="F74" s="40">
        <f ca="1">ABS(-D74/(T_400*$C72*0.000000001))</f>
        <v>20.623914431742072</v>
      </c>
      <c r="G74" s="41"/>
      <c r="H74" s="61">
        <f ca="1">Torque!G105</f>
        <v>0.44381282750909268</v>
      </c>
      <c r="I74" s="45">
        <f ca="1">ABS(-H74/(T_400*$C73*0.000000001))</f>
        <v>3.8957754770023718</v>
      </c>
      <c r="J74" s="45">
        <f ca="1">ABS(-H74/(T_400*$C72*0.000000001))</f>
        <v>46.760703545786811</v>
      </c>
      <c r="K74" s="43"/>
    </row>
    <row r="75" spans="2:15">
      <c r="B75" s="61" t="s">
        <v>19</v>
      </c>
      <c r="C75" s="71"/>
      <c r="D75" s="42"/>
      <c r="E75" s="40"/>
      <c r="F75" s="40"/>
      <c r="G75" s="41"/>
      <c r="H75" s="39"/>
      <c r="I75" s="59"/>
      <c r="J75" s="59"/>
      <c r="K75" s="58"/>
    </row>
    <row r="76" spans="2:15">
      <c r="B76" s="69" t="s">
        <v>27</v>
      </c>
      <c r="C76" s="70">
        <f>CMEQ121500x</f>
        <v>1112</v>
      </c>
      <c r="D76" s="42">
        <f ca="1">Torque!G97</f>
        <v>-8.2328094384052493E-6</v>
      </c>
      <c r="E76" s="40"/>
      <c r="F76" s="40">
        <f ca="1">ABS(D76/(T_400*$C78*0.000000001))</f>
        <v>7.3642332773251316E-4</v>
      </c>
      <c r="G76" s="41">
        <f ca="1">ABS(D76/(T_400*$C77*0.000000001))</f>
        <v>1.0040775932847121E-4</v>
      </c>
      <c r="H76" s="61">
        <f ca="1">Torque!G107</f>
        <v>-8.2328094384052493E-6</v>
      </c>
      <c r="I76" s="45"/>
      <c r="J76" s="45">
        <f ca="1">ABS(H76/(T_400*$C78*0.000000001))</f>
        <v>7.3642332773251316E-4</v>
      </c>
      <c r="K76" s="43">
        <f ca="1">ABS(H76/(T_400*$C77*0.000000001))</f>
        <v>1.0040775932847121E-4</v>
      </c>
    </row>
    <row r="77" spans="2:15">
      <c r="B77" s="69" t="s">
        <v>28</v>
      </c>
      <c r="C77" s="70">
        <f>CMEQ121500y</f>
        <v>14764</v>
      </c>
      <c r="D77" s="42">
        <f ca="1">Torque!G98</f>
        <v>-4.0059425281632277E-4</v>
      </c>
      <c r="E77" s="40">
        <f ca="1">ABS(D77/(T_400*$C78*0.000000001))</f>
        <v>3.5833084068888757E-2</v>
      </c>
      <c r="F77" s="40"/>
      <c r="G77" s="41">
        <f ca="1">ABS(D77/(T_400*$C76*0.000000001))</f>
        <v>6.4866904883698798E-2</v>
      </c>
      <c r="H77" s="61">
        <f ca="1">Torque!G108</f>
        <v>-4.029393780586799E-4</v>
      </c>
      <c r="I77" s="45">
        <f ca="1">ABS(H77/(T_400*$C78*0.000000001))</f>
        <v>3.604285510122552E-2</v>
      </c>
      <c r="J77" s="45"/>
      <c r="K77" s="43">
        <f ca="1">ABS(H77/(T_400*$C76*0.000000001))</f>
        <v>6.5246643272272462E-2</v>
      </c>
    </row>
    <row r="78" spans="2:15">
      <c r="B78" s="72" t="s">
        <v>29</v>
      </c>
      <c r="C78" s="73">
        <f>CMEQ121500z</f>
        <v>2013</v>
      </c>
      <c r="D78" s="62">
        <f ca="1">Torque!G99</f>
        <v>1.5541320547847204E-4</v>
      </c>
      <c r="E78" s="63">
        <f ca="1">ABS(-D78/(T_400*$C77*0.000000001))</f>
        <v>1.8954272959792204E-3</v>
      </c>
      <c r="F78" s="63">
        <f ca="1">ABS(-D78/(T_400*$C76*0.000000001))</f>
        <v>2.5165547300213319E-2</v>
      </c>
      <c r="G78" s="64"/>
      <c r="H78" s="74">
        <f ca="1">Torque!G109</f>
        <v>3.5025402769764256E-4</v>
      </c>
      <c r="I78" s="48">
        <f ca="1">ABS(-H78/(T_400*$C77*0.000000001))</f>
        <v>4.2717157951982073E-3</v>
      </c>
      <c r="J78" s="48">
        <f ca="1">ABS(-H78/(T_400*$C76*0.000000001))</f>
        <v>5.6715478417541668E-2</v>
      </c>
      <c r="K78" s="60"/>
    </row>
    <row r="79" spans="2:15">
      <c r="B79" s="4"/>
      <c r="C79" s="17"/>
      <c r="D79" s="16"/>
      <c r="E79" s="16"/>
      <c r="F79" s="16"/>
      <c r="G79" s="16"/>
      <c r="H79" s="16"/>
      <c r="K79" s="15"/>
      <c r="L79" s="15"/>
    </row>
    <row r="80" spans="2:15">
      <c r="B80" s="5" t="s">
        <v>243</v>
      </c>
      <c r="G80" s="15"/>
      <c r="H80" s="15"/>
    </row>
    <row r="81" spans="2:15">
      <c r="B81" s="52"/>
      <c r="C81" s="67"/>
      <c r="D81" s="52"/>
      <c r="E81" s="53" t="s">
        <v>233</v>
      </c>
      <c r="F81" s="53"/>
      <c r="G81" s="54"/>
      <c r="H81" s="55"/>
      <c r="I81" s="53" t="s">
        <v>234</v>
      </c>
      <c r="J81" s="53"/>
      <c r="K81" s="54"/>
      <c r="L81" s="55"/>
      <c r="M81" s="53" t="s">
        <v>235</v>
      </c>
      <c r="N81" s="53"/>
      <c r="O81" s="54"/>
    </row>
    <row r="82" spans="2:15" ht="30">
      <c r="B82" s="33" t="s">
        <v>79</v>
      </c>
      <c r="C82" s="35" t="s">
        <v>177</v>
      </c>
      <c r="D82" s="49" t="s">
        <v>179</v>
      </c>
      <c r="E82" s="34" t="s">
        <v>180</v>
      </c>
      <c r="F82" s="34" t="s">
        <v>181</v>
      </c>
      <c r="G82" s="50" t="s">
        <v>182</v>
      </c>
      <c r="H82" s="49" t="s">
        <v>179</v>
      </c>
      <c r="I82" s="56" t="s">
        <v>180</v>
      </c>
      <c r="J82" s="34" t="s">
        <v>181</v>
      </c>
      <c r="K82" s="50" t="s">
        <v>182</v>
      </c>
      <c r="L82" s="49" t="s">
        <v>179</v>
      </c>
      <c r="M82" s="34" t="s">
        <v>180</v>
      </c>
      <c r="N82" s="34" t="s">
        <v>181</v>
      </c>
      <c r="O82" s="50" t="s">
        <v>182</v>
      </c>
    </row>
    <row r="83" spans="2:15" ht="17.25">
      <c r="B83" s="36" t="s">
        <v>239</v>
      </c>
      <c r="C83" s="38" t="s">
        <v>178</v>
      </c>
      <c r="D83" s="36" t="s">
        <v>94</v>
      </c>
      <c r="E83" s="37" t="s">
        <v>238</v>
      </c>
      <c r="F83" s="37" t="s">
        <v>238</v>
      </c>
      <c r="G83" s="38" t="s">
        <v>238</v>
      </c>
      <c r="H83" s="36" t="s">
        <v>94</v>
      </c>
      <c r="I83" s="37" t="s">
        <v>238</v>
      </c>
      <c r="J83" s="37" t="s">
        <v>238</v>
      </c>
      <c r="K83" s="38" t="s">
        <v>238</v>
      </c>
      <c r="L83" s="36" t="s">
        <v>94</v>
      </c>
      <c r="M83" s="37" t="s">
        <v>238</v>
      </c>
      <c r="N83" s="37" t="s">
        <v>238</v>
      </c>
      <c r="O83" s="38" t="s">
        <v>238</v>
      </c>
    </row>
    <row r="84" spans="2:15">
      <c r="B84" s="61" t="s">
        <v>5</v>
      </c>
      <c r="C84" s="58"/>
      <c r="D84" s="61"/>
      <c r="E84" s="57"/>
      <c r="F84" s="57"/>
      <c r="G84" s="41"/>
      <c r="H84" s="39"/>
      <c r="I84" s="57"/>
      <c r="J84" s="57"/>
      <c r="K84" s="58"/>
      <c r="L84" s="61"/>
      <c r="M84" s="57"/>
      <c r="N84" s="57"/>
      <c r="O84" s="58"/>
    </row>
    <row r="85" spans="2:15">
      <c r="B85" s="69" t="s">
        <v>27</v>
      </c>
      <c r="C85" s="70">
        <f>CMEQ25400x</f>
        <v>5144</v>
      </c>
      <c r="D85" s="42">
        <f>Torque!G9</f>
        <v>0</v>
      </c>
      <c r="E85" s="40"/>
      <c r="F85" s="40">
        <f>ABS(D85/(T_400*$C87*0.000000001))</f>
        <v>0</v>
      </c>
      <c r="G85" s="41">
        <f>ABS(D85/(T_400*$C86*0.000000001))</f>
        <v>0</v>
      </c>
      <c r="H85" s="42">
        <f>Torque!G23</f>
        <v>0</v>
      </c>
      <c r="I85" s="40"/>
      <c r="J85" s="40">
        <f>ABS(H85/(T_400*$C87*0.000000001))</f>
        <v>0</v>
      </c>
      <c r="K85" s="41">
        <f>ABS(H85/(T_400*$C86*0.000000001))</f>
        <v>0</v>
      </c>
      <c r="L85" s="42">
        <f>Torque!G37</f>
        <v>0</v>
      </c>
      <c r="M85" s="40"/>
      <c r="N85" s="40">
        <f>ABS(L85/(T_400*$C87*0.000000001))</f>
        <v>0</v>
      </c>
      <c r="O85" s="41">
        <f>ABS(L85/(T_400*$C86*0.000000001))</f>
        <v>0</v>
      </c>
    </row>
    <row r="86" spans="2:15">
      <c r="B86" s="69" t="s">
        <v>28</v>
      </c>
      <c r="C86" s="70">
        <f>CMEQ25400y</f>
        <v>19306</v>
      </c>
      <c r="D86" s="42">
        <f ca="1">Torque!G10</f>
        <v>-0.3315918046502635</v>
      </c>
      <c r="E86" s="47">
        <f ca="1">ABS(D86/(T_400*$C87*0.000000001))</f>
        <v>5.4136590505587643</v>
      </c>
      <c r="F86" s="47"/>
      <c r="G86" s="51">
        <f ca="1">ABS(D86/(T_400*$C85*0.000000001))</f>
        <v>11.607162843820493</v>
      </c>
      <c r="H86" s="42">
        <f ca="1">Torque!G24</f>
        <v>-1.06838779630182</v>
      </c>
      <c r="I86" s="47">
        <f ca="1">ABS(H86/(T_400*$C87*0.000000001))</f>
        <v>17.442793162684655</v>
      </c>
      <c r="J86" s="47"/>
      <c r="K86" s="51">
        <f ca="1">ABS(H86/(T_400*$C85*0.000000001))</f>
        <v>37.398243738578742</v>
      </c>
      <c r="L86" s="42">
        <f ca="1">Torque!G38</f>
        <v>-1.8051837879533765</v>
      </c>
      <c r="M86" s="47">
        <f ca="1">ABS(L86/(T_400*$C87*0.000000001))</f>
        <v>29.471927274810543</v>
      </c>
      <c r="N86" s="47"/>
      <c r="O86" s="41">
        <f ca="1">ABS(L86/(T_400*$C85*0.000000001))</f>
        <v>63.189324633336994</v>
      </c>
    </row>
    <row r="87" spans="2:15">
      <c r="B87" s="69" t="s">
        <v>29</v>
      </c>
      <c r="C87" s="70">
        <f>CMEQ25400z</f>
        <v>11029</v>
      </c>
      <c r="D87" s="42">
        <f ca="1">Torque!G11</f>
        <v>0.3315918046502635</v>
      </c>
      <c r="E87" s="47">
        <f ca="1">ABS(-D87/(T_400*$C86*0.000000001))</f>
        <v>3.09267821758068</v>
      </c>
      <c r="F87" s="47">
        <f ca="1">ABS(-D87/(T_400*$C85*0.000000001))</f>
        <v>11.607162843820493</v>
      </c>
      <c r="G87" s="51"/>
      <c r="H87" s="42">
        <f ca="1">Torque!G25</f>
        <v>61.547058777700414</v>
      </c>
      <c r="I87" s="47">
        <f ca="1">ABS(-H87/(T_400*$C86*0.000000001))</f>
        <v>574.0348385229629</v>
      </c>
      <c r="J87" s="47">
        <f ca="1">ABS(-H87/(T_400*$C85*0.000000001))</f>
        <v>2154.4161338499853</v>
      </c>
      <c r="K87" s="51"/>
      <c r="L87" s="42">
        <f ca="1">Torque!G39</f>
        <v>1.8051837879533679</v>
      </c>
      <c r="M87" s="47">
        <f ca="1">ABS(-L87/(T_400*$C86*0.000000001))</f>
        <v>16.836521595042157</v>
      </c>
      <c r="N87" s="47">
        <f ca="1">ABS(-L87/(T_400*$C85*0.000000001))</f>
        <v>63.189324633336689</v>
      </c>
      <c r="O87" s="41"/>
    </row>
    <row r="88" spans="2:15">
      <c r="B88" s="61" t="s">
        <v>33</v>
      </c>
      <c r="C88" s="71"/>
      <c r="D88" s="42"/>
      <c r="E88" s="47"/>
      <c r="F88" s="47"/>
      <c r="G88" s="51"/>
      <c r="H88" s="44"/>
      <c r="I88" s="47"/>
      <c r="J88" s="47"/>
      <c r="K88" s="51"/>
      <c r="L88" s="46"/>
      <c r="M88" s="47"/>
      <c r="N88" s="47"/>
      <c r="O88" s="41"/>
    </row>
    <row r="89" spans="2:15">
      <c r="B89" s="69" t="s">
        <v>27</v>
      </c>
      <c r="C89" s="70">
        <f>CMEQ25700x</f>
        <v>4230</v>
      </c>
      <c r="D89" s="42">
        <f>Torque!G13</f>
        <v>0</v>
      </c>
      <c r="E89" s="47"/>
      <c r="F89" s="47">
        <f>ABS(D89/(T_400*$C91*0.000000001))</f>
        <v>0</v>
      </c>
      <c r="G89" s="51">
        <f>ABS(D89/(T_400*$C90*0.000000001))</f>
        <v>0</v>
      </c>
      <c r="H89" s="42">
        <f>Torque!G27</f>
        <v>0</v>
      </c>
      <c r="I89" s="47"/>
      <c r="J89" s="47">
        <f>ABS(H89/(T_400*$C91*0.000000001))</f>
        <v>0</v>
      </c>
      <c r="K89" s="51">
        <f>ABS(H89/(T_400*$C90*0.000000001))</f>
        <v>0</v>
      </c>
      <c r="L89" s="42">
        <f>Torque!G41</f>
        <v>0</v>
      </c>
      <c r="M89" s="47"/>
      <c r="N89" s="47">
        <f>ABS(L89/(T_400*$C91*0.000000001))</f>
        <v>0</v>
      </c>
      <c r="O89" s="41">
        <f>ABS(L89/(T_400*$C90*0.000000001))</f>
        <v>0</v>
      </c>
    </row>
    <row r="90" spans="2:15">
      <c r="B90" s="69" t="s">
        <v>28</v>
      </c>
      <c r="C90" s="70">
        <f>CMEQ25700y</f>
        <v>16906</v>
      </c>
      <c r="D90" s="42">
        <f ca="1">Torque!G14</f>
        <v>-9.0811926542322136E-3</v>
      </c>
      <c r="E90" s="47">
        <f ca="1">ABS(D90/(T_400*$C91*0.000000001))</f>
        <v>0.18164653989900881</v>
      </c>
      <c r="F90" s="47"/>
      <c r="G90" s="51">
        <f ca="1">ABS(D90/(T_400*$C89*0.000000001))</f>
        <v>0.38656788467396624</v>
      </c>
      <c r="H90" s="42">
        <f ca="1">Torque!G28</f>
        <v>-2.9259575392342922E-2</v>
      </c>
      <c r="I90" s="47">
        <f ca="1">ABS(H90/(T_400*$C91*0.000000001))</f>
        <v>0.58526460469444064</v>
      </c>
      <c r="J90" s="47"/>
      <c r="K90" s="51">
        <f ca="1">ABS(H90/(T_400*$C89*0.000000001))</f>
        <v>1.245520560628689</v>
      </c>
      <c r="L90" s="42">
        <f ca="1">Torque!G42</f>
        <v>-4.9437958130453624E-2</v>
      </c>
      <c r="M90" s="47">
        <f ca="1">ABS(L90/(T_400*$C91*0.000000001))</f>
        <v>0.98888266948987236</v>
      </c>
      <c r="N90" s="47"/>
      <c r="O90" s="41">
        <f ca="1">ABS(L90/(T_400*$C89*0.000000001))</f>
        <v>2.1044732365834116</v>
      </c>
    </row>
    <row r="91" spans="2:15">
      <c r="B91" s="69" t="s">
        <v>29</v>
      </c>
      <c r="C91" s="70">
        <f>CMEQ25700z</f>
        <v>9002</v>
      </c>
      <c r="D91" s="42">
        <f ca="1">Torque!G15</f>
        <v>9.0811926542322136E-3</v>
      </c>
      <c r="E91" s="47">
        <f ca="1">ABS(-D91/(T_400*$C90*0.000000001))</f>
        <v>9.6722001193119439E-2</v>
      </c>
      <c r="F91" s="47">
        <f ca="1">ABS(-D91/(T_400*$C89*0.000000001))</f>
        <v>0.38656788467396624</v>
      </c>
      <c r="G91" s="51"/>
      <c r="H91" s="42">
        <f ca="1">Torque!G29</f>
        <v>1.6855684918122633</v>
      </c>
      <c r="I91" s="47">
        <f ca="1">ABS(-H91/(T_400*$C90*0.000000001))</f>
        <v>17.952659290866468</v>
      </c>
      <c r="J91" s="47">
        <f ca="1">ABS(-H91/(T_400*$C89*0.000000001))</f>
        <v>71.751219378578838</v>
      </c>
      <c r="K91" s="51"/>
      <c r="L91" s="42">
        <f ca="1">Torque!G43</f>
        <v>4.9437958130453707E-2</v>
      </c>
      <c r="M91" s="47">
        <f ca="1">ABS(-L91/(T_400*$C90*0.000000001))</f>
        <v>0.52655399211805554</v>
      </c>
      <c r="N91" s="47">
        <f ca="1">ABS(-L91/(T_400*$C89*0.000000001))</f>
        <v>2.1044732365834151</v>
      </c>
      <c r="O91" s="41"/>
    </row>
    <row r="92" spans="2:15">
      <c r="B92" s="61" t="s">
        <v>19</v>
      </c>
      <c r="C92" s="71"/>
      <c r="D92" s="42"/>
      <c r="E92" s="47"/>
      <c r="F92" s="47"/>
      <c r="G92" s="51"/>
      <c r="H92" s="44"/>
      <c r="I92" s="47"/>
      <c r="J92" s="47"/>
      <c r="K92" s="51"/>
      <c r="L92" s="46"/>
      <c r="M92" s="47"/>
      <c r="N92" s="47"/>
      <c r="O92" s="41"/>
    </row>
    <row r="93" spans="2:15">
      <c r="B93" s="69" t="s">
        <v>27</v>
      </c>
      <c r="C93" s="70">
        <f>CMEQ251500x</f>
        <v>3069</v>
      </c>
      <c r="D93" s="42">
        <f>Torque!G17</f>
        <v>0</v>
      </c>
      <c r="E93" s="47"/>
      <c r="F93" s="47">
        <f>ABS(D93/(T_400*$C95*0.000000001))</f>
        <v>0</v>
      </c>
      <c r="G93" s="51">
        <f>ABS(D93/(T_400*$C94*0.000000001))</f>
        <v>0</v>
      </c>
      <c r="H93" s="42">
        <f>Torque!G31</f>
        <v>0</v>
      </c>
      <c r="I93" s="47"/>
      <c r="J93" s="47">
        <f>ABS(H93/(T_400*$C95*0.000000001))</f>
        <v>0</v>
      </c>
      <c r="K93" s="51">
        <f>ABS(H93/(T_400*$C94*0.000000001))</f>
        <v>0</v>
      </c>
      <c r="L93" s="42">
        <f>Torque!G45</f>
        <v>0</v>
      </c>
      <c r="M93" s="47"/>
      <c r="N93" s="47">
        <f>ABS(L93/(T_400*$C95*0.000000001))</f>
        <v>0</v>
      </c>
      <c r="O93" s="41">
        <f>ABS(L93/(T_400*$C94*0.000000001))</f>
        <v>0</v>
      </c>
    </row>
    <row r="94" spans="2:15">
      <c r="B94" s="69" t="s">
        <v>28</v>
      </c>
      <c r="C94" s="70">
        <f>CMEQ251500y</f>
        <v>12487</v>
      </c>
      <c r="D94" s="42">
        <f ca="1">Torque!G18</f>
        <v>-6.3990189908610676E-5</v>
      </c>
      <c r="E94" s="47">
        <f ca="1">ABS(D94/(T_400*$C95*0.000000001))</f>
        <v>1.788611124626699E-3</v>
      </c>
      <c r="F94" s="47"/>
      <c r="G94" s="51">
        <f ca="1">ABS(D94/(T_400*$C93*0.000000001))</f>
        <v>3.7543932436771561E-3</v>
      </c>
      <c r="H94" s="42">
        <f ca="1">Torque!G32</f>
        <v>-2.0617619923840659E-4</v>
      </c>
      <c r="I94" s="47">
        <f ca="1">ABS(H94/(T_400*$C95*0.000000001))</f>
        <v>5.7628996588028926E-3</v>
      </c>
      <c r="J94" s="47"/>
      <c r="K94" s="51">
        <f ca="1">ABS(H94/(T_400*$C93*0.000000001))</f>
        <v>1.2096643728252924E-2</v>
      </c>
      <c r="L94" s="42">
        <f ca="1">Torque!G46</f>
        <v>-3.4836220856820249E-4</v>
      </c>
      <c r="M94" s="47">
        <f ca="1">ABS(L94/(T_400*$C95*0.000000001))</f>
        <v>9.7371881929790849E-3</v>
      </c>
      <c r="N94" s="47"/>
      <c r="O94" s="41">
        <f ca="1">ABS(L94/(T_400*$C93*0.000000001))</f>
        <v>2.0438894212828691E-2</v>
      </c>
    </row>
    <row r="95" spans="2:15">
      <c r="B95" s="72" t="s">
        <v>29</v>
      </c>
      <c r="C95" s="73">
        <f>CMEQ251500z</f>
        <v>6442</v>
      </c>
      <c r="D95" s="62">
        <f ca="1">Torque!G19</f>
        <v>6.3990189908610676E-5</v>
      </c>
      <c r="E95" s="65">
        <f ca="1">ABS(-D95/(T_400*$C94*0.000000001))</f>
        <v>9.2273827699569091E-4</v>
      </c>
      <c r="F95" s="65">
        <f ca="1">ABS(-D95/(T_400*$C93*0.000000001))</f>
        <v>3.7543932436771561E-3</v>
      </c>
      <c r="G95" s="66"/>
      <c r="H95" s="62">
        <f ca="1">Torque!G33</f>
        <v>1.1877277798392484E-2</v>
      </c>
      <c r="I95" s="65">
        <f ca="1">ABS(-H95/(T_400*$C94*0.000000001))</f>
        <v>0.17127029731807533</v>
      </c>
      <c r="J95" s="65">
        <f ca="1">ABS(-H95/(T_400*$C93*0.000000001))</f>
        <v>0.69685637100384701</v>
      </c>
      <c r="K95" s="66"/>
      <c r="L95" s="62">
        <f ca="1">Torque!G47</f>
        <v>3.4836220856819793E-4</v>
      </c>
      <c r="M95" s="65">
        <f ca="1">ABS(-L95/(T_400*$C94*0.000000001))</f>
        <v>5.0233816240226187E-3</v>
      </c>
      <c r="N95" s="65">
        <f ca="1">ABS(-L95/(T_400*$C93*0.000000001))</f>
        <v>2.0438894212828424E-2</v>
      </c>
      <c r="O95" s="64"/>
    </row>
    <row r="96" spans="2:15">
      <c r="B96" s="4"/>
      <c r="C96" s="18"/>
      <c r="D96" s="16"/>
      <c r="E96" s="30"/>
      <c r="F96" s="30"/>
      <c r="G96" s="29"/>
      <c r="H96" s="29"/>
      <c r="I96" s="15"/>
      <c r="J96" s="15"/>
      <c r="K96" s="15"/>
      <c r="L96" s="31"/>
      <c r="M96" s="30"/>
      <c r="N96" s="30"/>
      <c r="O96" s="29"/>
    </row>
    <row r="97" spans="1:15">
      <c r="B97" s="5" t="s">
        <v>244</v>
      </c>
      <c r="C97" s="18"/>
      <c r="D97" s="16"/>
      <c r="E97" s="30"/>
      <c r="F97" s="30"/>
      <c r="G97" s="29"/>
      <c r="H97" s="29"/>
      <c r="I97" s="15"/>
      <c r="J97" s="15"/>
      <c r="K97" s="15"/>
      <c r="L97" s="31"/>
      <c r="M97" s="30"/>
      <c r="N97" s="30"/>
      <c r="O97" s="29"/>
    </row>
    <row r="98" spans="1:15">
      <c r="B98" s="52"/>
      <c r="C98" s="67"/>
      <c r="D98" s="55"/>
      <c r="E98" s="53" t="s">
        <v>234</v>
      </c>
      <c r="F98" s="53"/>
      <c r="G98" s="54"/>
      <c r="H98" s="55"/>
      <c r="I98" s="53" t="s">
        <v>235</v>
      </c>
      <c r="J98" s="53"/>
      <c r="K98" s="54"/>
    </row>
    <row r="99" spans="1:15" ht="30">
      <c r="B99" s="33" t="s">
        <v>79</v>
      </c>
      <c r="C99" s="35" t="s">
        <v>177</v>
      </c>
      <c r="D99" s="49" t="s">
        <v>179</v>
      </c>
      <c r="E99" s="56" t="s">
        <v>180</v>
      </c>
      <c r="F99" s="34" t="s">
        <v>181</v>
      </c>
      <c r="G99" s="50" t="s">
        <v>182</v>
      </c>
      <c r="H99" s="49" t="s">
        <v>179</v>
      </c>
      <c r="I99" s="34" t="s">
        <v>180</v>
      </c>
      <c r="J99" s="34" t="s">
        <v>181</v>
      </c>
      <c r="K99" s="50" t="s">
        <v>182</v>
      </c>
    </row>
    <row r="100" spans="1:15" ht="17.25">
      <c r="B100" s="36" t="s">
        <v>239</v>
      </c>
      <c r="C100" s="38" t="s">
        <v>178</v>
      </c>
      <c r="D100" s="36" t="s">
        <v>94</v>
      </c>
      <c r="E100" s="37" t="s">
        <v>238</v>
      </c>
      <c r="F100" s="37" t="s">
        <v>238</v>
      </c>
      <c r="G100" s="38" t="s">
        <v>238</v>
      </c>
      <c r="H100" s="36" t="s">
        <v>94</v>
      </c>
      <c r="I100" s="37" t="s">
        <v>238</v>
      </c>
      <c r="J100" s="37" t="s">
        <v>238</v>
      </c>
      <c r="K100" s="38" t="s">
        <v>238</v>
      </c>
    </row>
    <row r="101" spans="1:15">
      <c r="B101" s="61" t="s">
        <v>33</v>
      </c>
      <c r="C101" s="71"/>
      <c r="D101" s="42"/>
      <c r="E101" s="40"/>
      <c r="F101" s="40"/>
      <c r="G101" s="41"/>
      <c r="H101" s="39"/>
      <c r="I101" s="59"/>
      <c r="J101" s="59"/>
      <c r="K101" s="58"/>
    </row>
    <row r="102" spans="1:15">
      <c r="B102" s="69" t="s">
        <v>27</v>
      </c>
      <c r="C102" s="70">
        <f>CMEQ25700x</f>
        <v>4230</v>
      </c>
      <c r="D102" s="42">
        <f ca="1">Torque!G123</f>
        <v>-5.9206030403037178E-4</v>
      </c>
      <c r="E102" s="40"/>
      <c r="F102" s="40">
        <f ca="1">ABS(D102/(T_400*$C104*0.000000001))</f>
        <v>1.1842685177321004E-2</v>
      </c>
      <c r="G102" s="41">
        <f ca="1">ABS(D102/(T_400*$C103*0.000000001))</f>
        <v>6.3059181335764622E-3</v>
      </c>
      <c r="H102" s="61">
        <f ca="1">Torque!G133</f>
        <v>-5.9206030403037178E-4</v>
      </c>
      <c r="I102" s="45"/>
      <c r="J102" s="45">
        <f ca="1">ABS(H102/(T_400*$C104*0.000000001))</f>
        <v>1.1842685177321004E-2</v>
      </c>
      <c r="K102" s="43">
        <f ca="1">ABS(H102/(T_400*$C103*0.000000001))</f>
        <v>6.3059181335764622E-3</v>
      </c>
    </row>
    <row r="103" spans="1:15">
      <c r="B103" s="69" t="s">
        <v>28</v>
      </c>
      <c r="C103" s="70">
        <f>CMEQ25700y</f>
        <v>16906</v>
      </c>
      <c r="D103" s="42">
        <f ca="1">Torque!G124</f>
        <v>-9.4053874199753057E-2</v>
      </c>
      <c r="E103" s="40">
        <f ca="1">ABS(D103/(T_400*$C104*0.000000001))</f>
        <v>1.8813124512362023</v>
      </c>
      <c r="F103" s="40"/>
      <c r="G103" s="41">
        <f ca="1">ABS(D103/(T_400*$C102*0.000000001))</f>
        <v>4.0036819588719368</v>
      </c>
      <c r="H103" s="61">
        <f ca="1">Torque!G134</f>
        <v>-9.7023801532561821E-2</v>
      </c>
      <c r="I103" s="45">
        <f ca="1">ABS(H103/(T_400*$C104*0.000000001))</f>
        <v>1.9407184174233401</v>
      </c>
      <c r="J103" s="45"/>
      <c r="K103" s="43">
        <f ca="1">ABS(H103/(T_400*$C102*0.000000001))</f>
        <v>4.130105719537803</v>
      </c>
    </row>
    <row r="104" spans="1:15">
      <c r="B104" s="69" t="s">
        <v>29</v>
      </c>
      <c r="C104" s="70">
        <f>CMEQ25700z</f>
        <v>9002</v>
      </c>
      <c r="D104" s="42">
        <f ca="1">Torque!G125</f>
        <v>0.1814720693448782</v>
      </c>
      <c r="E104" s="40">
        <f ca="1">ABS(-D104/(T_400*$C103*0.000000001))</f>
        <v>1.9328234050307302</v>
      </c>
      <c r="F104" s="40">
        <f ca="1">ABS(-D104/(T_400*$C102*0.000000001))</f>
        <v>7.7248965686641906</v>
      </c>
      <c r="G104" s="41"/>
      <c r="H104" s="61">
        <f ca="1">Torque!G135</f>
        <v>0.42822353191240631</v>
      </c>
      <c r="I104" s="45">
        <f ca="1">ABS(-H104/(T_400*$C103*0.000000001))</f>
        <v>4.5609248191921985</v>
      </c>
      <c r="J104" s="45">
        <f ca="1">ABS(-H104/(T_400*$C102*0.000000001))</f>
        <v>18.228604017319935</v>
      </c>
      <c r="K104" s="43"/>
    </row>
    <row r="105" spans="1:15">
      <c r="B105" s="61" t="s">
        <v>19</v>
      </c>
      <c r="C105" s="71"/>
      <c r="D105" s="42"/>
      <c r="E105" s="40"/>
      <c r="F105" s="40"/>
      <c r="G105" s="41"/>
      <c r="H105" s="39"/>
      <c r="I105" s="59"/>
      <c r="J105" s="59"/>
      <c r="K105" s="58"/>
    </row>
    <row r="106" spans="1:15">
      <c r="B106" s="69" t="s">
        <v>27</v>
      </c>
      <c r="C106" s="70">
        <f>CMEQ251500x</f>
        <v>3069</v>
      </c>
      <c r="D106" s="42">
        <f ca="1">Torque!G127</f>
        <v>-8.2010837758295047E-6</v>
      </c>
      <c r="E106" s="40"/>
      <c r="F106" s="40">
        <f ca="1">ABS(D106/(T_400*$C108*0.000000001))</f>
        <v>2.2923122585498607E-4</v>
      </c>
      <c r="G106" s="41">
        <f ca="1">ABS(D106/(T_400*$C107*0.000000001))</f>
        <v>1.1825959453494194E-4</v>
      </c>
      <c r="H106" s="61">
        <f ca="1">Torque!G137</f>
        <v>-8.2010837758295047E-6</v>
      </c>
      <c r="I106" s="45"/>
      <c r="J106" s="45">
        <f ca="1">ABS(H106/(T_400*$C108*0.000000001))</f>
        <v>2.2923122585498607E-4</v>
      </c>
      <c r="K106" s="43">
        <f ca="1">ABS(H106/(T_400*$C107*0.000000001))</f>
        <v>1.1825959453494194E-4</v>
      </c>
    </row>
    <row r="107" spans="1:15">
      <c r="B107" s="69" t="s">
        <v>28</v>
      </c>
      <c r="C107" s="70">
        <f>CMEQ251500y</f>
        <v>12487</v>
      </c>
      <c r="D107" s="42">
        <f ca="1">Torque!G128</f>
        <v>-4.0535417176591564E-4</v>
      </c>
      <c r="E107" s="40">
        <f ca="1">ABS(D107/(T_400*$C108*0.000000001))</f>
        <v>1.133018955045792E-2</v>
      </c>
      <c r="F107" s="40"/>
      <c r="G107" s="41">
        <f ca="1">ABS(D107/(T_400*$C106*0.000000001))</f>
        <v>2.3782691783659139E-2</v>
      </c>
      <c r="H107" s="61">
        <f ca="1">Torque!G138</f>
        <v>-4.0758762437768437E-4</v>
      </c>
      <c r="I107" s="45">
        <f ca="1">ABS(H107/(T_400*$C108*0.000000001))</f>
        <v>1.1392617528768991E-2</v>
      </c>
      <c r="J107" s="45"/>
      <c r="K107" s="43">
        <f ca="1">ABS(H107/(T_400*$C106*0.000000001))</f>
        <v>2.391373154784289E-2</v>
      </c>
    </row>
    <row r="108" spans="1:15">
      <c r="B108" s="72" t="s">
        <v>29</v>
      </c>
      <c r="C108" s="73">
        <f>CMEQ251500z</f>
        <v>6442</v>
      </c>
      <c r="D108" s="62">
        <f ca="1">Torque!G129</f>
        <v>1.3988073765397945E-4</v>
      </c>
      <c r="E108" s="63">
        <f ca="1">ABS(-D108/(T_400*$C107*0.000000001))</f>
        <v>2.017079665368376E-3</v>
      </c>
      <c r="F108" s="63">
        <f ca="1">ABS(-D108/(T_400*$C106*0.000000001))</f>
        <v>8.2069969962381608E-3</v>
      </c>
      <c r="G108" s="64"/>
      <c r="H108" s="74">
        <f ca="1">Torque!G139</f>
        <v>3.2544342548176079E-4</v>
      </c>
      <c r="I108" s="48">
        <f ca="1">ABS(-H108/(T_400*$C107*0.000000001))</f>
        <v>4.6928928655704224E-3</v>
      </c>
      <c r="J108" s="48">
        <f ca="1">ABS(-H108/(T_400*$C106*0.000000001))</f>
        <v>1.9094217403837689E-2</v>
      </c>
      <c r="K108" s="60"/>
    </row>
    <row r="109" spans="1:15" ht="15.75" thickBot="1"/>
    <row r="110" spans="1:15" ht="15.75" thickBot="1">
      <c r="A110" s="583" t="s">
        <v>654</v>
      </c>
      <c r="B110" s="584"/>
      <c r="C110" s="584"/>
      <c r="D110" s="584"/>
      <c r="E110" s="584"/>
      <c r="F110" s="584"/>
      <c r="G110" s="584"/>
      <c r="H110" s="584"/>
      <c r="I110" s="585"/>
    </row>
    <row r="111" spans="1:15" ht="15.75" thickBot="1">
      <c r="A111" s="99"/>
      <c r="B111" s="57"/>
      <c r="C111" s="57"/>
      <c r="D111" s="57"/>
      <c r="E111" s="632" t="s">
        <v>813</v>
      </c>
      <c r="F111" s="633"/>
      <c r="G111" s="633"/>
      <c r="H111" s="637" t="str">
        <f>NomPlat</f>
        <v>PMM</v>
      </c>
      <c r="I111" s="638"/>
    </row>
    <row r="112" spans="1:15" ht="15.75" thickBot="1">
      <c r="A112" s="288" t="s">
        <v>815</v>
      </c>
      <c r="B112" s="289" t="s">
        <v>527</v>
      </c>
      <c r="C112" s="290" t="s">
        <v>798</v>
      </c>
      <c r="D112" s="291" t="s">
        <v>797</v>
      </c>
      <c r="E112" s="238">
        <v>400</v>
      </c>
      <c r="F112" s="232">
        <v>700</v>
      </c>
      <c r="G112" s="214">
        <v>1500</v>
      </c>
      <c r="H112" s="243">
        <f>Orbbaix</f>
        <v>600</v>
      </c>
      <c r="I112" s="244">
        <f>Orbalta</f>
        <v>1200</v>
      </c>
      <c r="J112" s="96"/>
    </row>
    <row r="113" spans="1:12" ht="15.75" thickBot="1">
      <c r="A113" s="169"/>
      <c r="B113" s="158"/>
      <c r="C113" s="158"/>
      <c r="D113" s="158"/>
      <c r="E113" s="240" t="s">
        <v>65</v>
      </c>
      <c r="F113" s="241" t="s">
        <v>65</v>
      </c>
      <c r="G113" s="292" t="s">
        <v>65</v>
      </c>
      <c r="H113" s="245" t="s">
        <v>65</v>
      </c>
      <c r="I113" s="246" t="s">
        <v>65</v>
      </c>
      <c r="J113" s="94"/>
    </row>
    <row r="114" spans="1:12">
      <c r="A114" s="618" t="s">
        <v>463</v>
      </c>
      <c r="B114" s="615">
        <v>0</v>
      </c>
      <c r="C114" s="615" t="s">
        <v>464</v>
      </c>
      <c r="D114" s="217">
        <v>1</v>
      </c>
      <c r="E114" s="293" t="str">
        <f>IF(AsaRot2=1,"NA",(+OcEQU0400*ApNadir*Capac_Esp!$F$23*MAX(MIN(I25:K25),MIN(I26:K26),MIN(I27:K27))))</f>
        <v>NA</v>
      </c>
      <c r="F114" s="294" t="str">
        <f>IF(AsaRot2=1,"NA",(+OcEQU0700*ApNadir*Capac_Esp!$F$23*MAX(MIN(I29:K29),MIN(I30:K30),MIN(I31:K31))))</f>
        <v>NA</v>
      </c>
      <c r="G114" s="295" t="str">
        <f>IF(AsaRot2=1,"NA",(+OcEQU01500*ApNadir*Capac_Esp!$F$23*MAX(MIN(I33:K33),MIN(I34:K34),MIN(I35:K35))))</f>
        <v>NA</v>
      </c>
      <c r="H114" s="304" t="str">
        <f>IF(AsaRot2=1,"NA",(IF(MAX(E114/EXP(-0.005*E$112), F114/EXP(-0.005*F$112), G114/EXP(-0.005*G$112))*EXP(-0.005*H$112)&lt;Capac_Esp!$E$20,Capac_Esp!$E$20,(MAX(E114/EXP(-0.005*E$112), F114/EXP(-0.005*F$112), G114/EXP(-0.005*G$112))*EXP(-0.005*H$112)))))</f>
        <v>NA</v>
      </c>
      <c r="I114" s="305" t="str">
        <f>IF(AsaRot2=1,"NA",(IF(MAX(E114/EXP(-0.005*E$112), F114/EXP(-0.005*F$112), G114/EXP(-0.005*G$112))*EXP(-0.005*I$112)&lt;Capac_Esp!$E$20,Capac_Esp!$E$20,(MAX(E114/EXP(-0.005*E$112), F114/EXP(-0.005*F$112), G114/EXP(-0.005*G$112))*EXP(-0.005*I$112)))))</f>
        <v>NA</v>
      </c>
      <c r="J114" s="15"/>
      <c r="K114" s="15"/>
    </row>
    <row r="115" spans="1:12">
      <c r="A115" s="612"/>
      <c r="B115" s="610"/>
      <c r="C115" s="610"/>
      <c r="D115" s="218">
        <v>2</v>
      </c>
      <c r="E115" s="296">
        <f ca="1">(+OcEQU0400*ApNadir*Capac_Esp!$F$23*MAX(MIN(M25:O25),MIN(M26:O26),MIN(M27:O27)))</f>
        <v>1.6058031283098737</v>
      </c>
      <c r="F115" s="287">
        <f ca="1">(+OcEQU0700*ApNadir*Capac_Esp!$F$23*MAX(MIN(M29:O29),MIN(M30:O30),MIN(M31:O31)))</f>
        <v>9.4927900910492358E-2</v>
      </c>
      <c r="G115" s="297">
        <f ca="1">(+OcEQU01500*ApNadir*Capac_Esp!$F$23*MAX(MIN(M33:O33),MIN(M34:O34),MIN(M35:O35)))</f>
        <v>5.384852637994183E-4</v>
      </c>
      <c r="H115" s="306">
        <f ca="1">(IF(MAX(E115/EXP(-0.005*E$112), F115/EXP(-0.005*F$112), G115/EXP(-0.005*G$112))*EXP(-0.005*H$112)&lt;Capac_Esp!$E$20,Capac_Esp!$E$20,(MAX(E115/EXP(-0.005*E$112), F115/EXP(-0.005*F$112), G115/EXP(-0.005*G$112))*EXP(-0.005*H$112))))*(AsaRot2)</f>
        <v>0.59074195747399028</v>
      </c>
      <c r="I115" s="307">
        <f ca="1">(IF(MAX(E115/EXP(-0.005*E$112), F115/EXP(-0.005*F$112), G115/EXP(-0.005*G$112))*EXP(-0.005*I$112)&lt;Capac_Esp!$E$20,Capac_Esp!$E$20,(MAX(E115/EXP(-0.005*E$112), F115/EXP(-0.005*F$112), G115/EXP(-0.005*G$112))*EXP(-0.005*I$112))))*(AsaRot2)</f>
        <v>0.41</v>
      </c>
      <c r="J115" s="15"/>
      <c r="K115" s="15"/>
    </row>
    <row r="116" spans="1:12">
      <c r="A116" s="611" t="s">
        <v>499</v>
      </c>
      <c r="B116" s="610">
        <v>12</v>
      </c>
      <c r="C116" s="610" t="s">
        <v>464</v>
      </c>
      <c r="D116" s="125">
        <v>1</v>
      </c>
      <c r="E116" s="298" t="str">
        <f>IF(AsaRot2=1,"NA",(+OcEQU12400*ApNadir*Capac_Esp!$F$23*MAX(MIN(I55:K55),MIN(I56:K56),MIN(I57:K57))))</f>
        <v>NA</v>
      </c>
      <c r="F116" s="286" t="str">
        <f>IF(AsaRot2=1,"NA",(+OcEQU12700*ApNadir*Capac_Esp!$F$23*MAX(MIN(I59:K59),MIN(I60:K60),MIN(I61:K61))))</f>
        <v>NA</v>
      </c>
      <c r="G116" s="299" t="str">
        <f>IF(AsaRot2=1,"NA",(+OcEQU121500*ApNadir*Capac_Esp!$F$23*MAX(MIN(I63:K63),MIN(I64:K64),MIN(I65:K65))))</f>
        <v>NA</v>
      </c>
      <c r="H116" s="308" t="str">
        <f>IF(AsaRot2=1,"NA",(IF(MAX(E116/EXP(-0.005*E$112), F116/EXP(-0.005*F$112), G116/EXP(-0.005*G$112))*EXP(-0.005*H$112)&lt;Capac_Esp!$E$20,Capac_Esp!$E$20,(MAX(E116/EXP(-0.005*E$112), F116/EXP(-0.005*F$112), G116/EXP(-0.005*G$112))*EXP(-0.005*H$112)))))</f>
        <v>NA</v>
      </c>
      <c r="I116" s="309" t="str">
        <f>IF(AsaRot2=1,"NA",(IF(MAX(E116/EXP(-0.005*E$112), F116/EXP(-0.005*F$112), G116/EXP(-0.005*G$112))*EXP(-0.005*I$112)&lt;Capac_Esp!$E$20,Capac_Esp!$E$20,(MAX(E116/EXP(-0.005*E$112), F116/EXP(-0.005*F$112), G116/EXP(-0.005*G$112))*EXP(-0.005*I$112)))))</f>
        <v>NA</v>
      </c>
      <c r="J116" s="15"/>
      <c r="K116" s="15"/>
    </row>
    <row r="117" spans="1:12">
      <c r="A117" s="611"/>
      <c r="B117" s="610"/>
      <c r="C117" s="610"/>
      <c r="D117" s="218">
        <v>2</v>
      </c>
      <c r="E117" s="296">
        <f ca="1">(+OcEQU12400*ApNadir*Capac_Esp!$F$23*MAX(MIN(M55:O55),MIN(M56:O56),MIN(M57:O57)))</f>
        <v>2.8215788707802556</v>
      </c>
      <c r="F117" s="287">
        <f ca="1">(+OcEQU12700*ApNadir*Capac_Esp!$F$23*MAX(MIN(M59:O59),MIN(M60:O60),MIN(M61:O61)))</f>
        <v>9.4927900910492358E-2</v>
      </c>
      <c r="G117" s="297">
        <f ca="1">(+OcEQU121500*ApNadir*Capac_Esp!$F$23*MAX(MIN(M63:O63),MIN(M64:O64),MIN(M65:O65)))</f>
        <v>1.0646653501846421E-3</v>
      </c>
      <c r="H117" s="306">
        <f ca="1">(IF(MAX(E117/EXP(-0.005*E$112), F117/EXP(-0.005*F$112), G117/EXP(-0.005*G$112))*EXP(-0.005*H$112)&lt;Capac_Esp!$E$20,Capac_Esp!$E$20,(MAX(E117/EXP(-0.005*E$112), F117/EXP(-0.005*F$112), G117/EXP(-0.005*G$112))*EXP(-0.005*H$112))))*(AsaRot2)</f>
        <v>1.0380008582037896</v>
      </c>
      <c r="I117" s="307">
        <f ca="1">(IF(MAX(E117/EXP(-0.005*E$112), F117/EXP(-0.005*F$112), G117/EXP(-0.005*G$112))*EXP(-0.005*I$112)&lt;Capac_Esp!$E$20,Capac_Esp!$E$20,(MAX(E117/EXP(-0.005*E$112), F117/EXP(-0.005*F$112), G117/EXP(-0.005*G$112))*EXP(-0.005*I$112))))*(AsaRot2)</f>
        <v>0.41</v>
      </c>
      <c r="J117" s="15"/>
      <c r="K117" s="15"/>
    </row>
    <row r="118" spans="1:12">
      <c r="A118" s="611" t="s">
        <v>499</v>
      </c>
      <c r="B118" s="610">
        <v>25</v>
      </c>
      <c r="C118" s="610" t="s">
        <v>464</v>
      </c>
      <c r="D118" s="125">
        <v>1</v>
      </c>
      <c r="E118" s="298" t="str">
        <f>IF(AsaRot2=1,"NA",(+OcEQU25400*ApNadir*Capac_Esp!$F$23*MAX(MIN(I85:K85),MIN(I86:K86),MIN(I87:K87))))</f>
        <v>NA</v>
      </c>
      <c r="F118" s="286" t="str">
        <f>IF(AsaRot2=1,"NA",(+OcEQU25700*ApNadir*Capac_Esp!$F$23*MAX(MIN(I89:K89),MIN(I90:K90),MIN(I91:K91))))</f>
        <v>NA</v>
      </c>
      <c r="G118" s="299" t="str">
        <f>IF(AsaRot2=1,"NA",(+OcEQU251500*ApNadir*Capac_Esp!$F$23*MAX(MIN(I93:K93),MIN(I94:K94),MIN(I95:K95))))</f>
        <v>NA</v>
      </c>
      <c r="H118" s="308" t="str">
        <f>IF(AsaRot2=1,"NA",(IF(MAX(E118/EXP(-0.005*E$112), F118/EXP(-0.005*F$112), G118/EXP(-0.005*G$112))*EXP(-0.005*H$112)&lt;Capac_Esp!$E$20,Capac_Esp!$E$20,(MAX(E118/EXP(-0.005*E$112), F118/EXP(-0.005*F$112), G118/EXP(-0.005*G$112))*EXP(-0.005*H$112)))))</f>
        <v>NA</v>
      </c>
      <c r="I118" s="309" t="str">
        <f>IF(AsaRot2=1,"NA",(IF(MAX(E118/EXP(-0.005*E$112), F118/EXP(-0.005*F$112), G118/EXP(-0.005*G$112))*EXP(-0.005*I$112)&lt;Capac_Esp!$E$20,Capac_Esp!$E$20,(MAX(E118/EXP(-0.005*E$112), F118/EXP(-0.005*F$112), G118/EXP(-0.005*G$112))*EXP(-0.005*I$112)))))</f>
        <v>NA</v>
      </c>
      <c r="J118" s="15"/>
      <c r="K118" s="15"/>
    </row>
    <row r="119" spans="1:12">
      <c r="A119" s="611"/>
      <c r="B119" s="610"/>
      <c r="C119" s="610"/>
      <c r="D119" s="218">
        <v>2</v>
      </c>
      <c r="E119" s="296">
        <f ca="1">(+OcEQU25400*ApNadir*Capac_Esp!$F$23*MAX(MIN(M85:O85),MIN(M86:O86),MIN(M87:O87)))</f>
        <v>1.0069575152226935</v>
      </c>
      <c r="F119" s="287">
        <f ca="1">(+OcEQU25700*ApNadir*Capac_Esp!$F$23*MAX(MIN(M89:O89),MIN(M90:O90),MIN(M91:O91)))</f>
        <v>3.3786824540903967E-2</v>
      </c>
      <c r="G119" s="297">
        <f ca="1">(+OcEQU251500*ApNadir*Capac_Esp!$F$23*MAX(MIN(M93:O93),MIN(M94:O94),MIN(M95:O95)))</f>
        <v>3.326872632601187E-4</v>
      </c>
      <c r="H119" s="306">
        <f ca="1">(IF(MAX(E119/EXP(-0.005*E$112), F119/EXP(-0.005*F$112), G119/EXP(-0.005*G$112))*EXP(-0.005*H$112)&lt;Capac_Esp!$E$20,Capac_Esp!$E$20,(MAX(E119/EXP(-0.005*E$112), F119/EXP(-0.005*F$112), G119/EXP(-0.005*G$112))*EXP(-0.005*H$112))))*(AsaRot2)</f>
        <v>0.41</v>
      </c>
      <c r="I119" s="307">
        <f ca="1">(IF(MAX(E119/EXP(-0.005*E$112), F119/EXP(-0.005*F$112), G119/EXP(-0.005*G$112))*EXP(-0.005*I$112)&lt;Capac_Esp!$E$20,Capac_Esp!$E$20,(MAX(E119/EXP(-0.005*E$112), F119/EXP(-0.005*F$112), G119/EXP(-0.005*G$112))*EXP(-0.005*I$112))))*(AsaRot2)</f>
        <v>0.41</v>
      </c>
      <c r="J119" s="15"/>
      <c r="K119" s="15"/>
    </row>
    <row r="120" spans="1:12">
      <c r="A120" s="612" t="s">
        <v>463</v>
      </c>
      <c r="B120" s="610">
        <v>0</v>
      </c>
      <c r="C120" s="610" t="s">
        <v>332</v>
      </c>
      <c r="D120" s="125">
        <v>1</v>
      </c>
      <c r="E120" s="300"/>
      <c r="F120" s="286" t="str">
        <f>IF(AsaRot2=1,"NA",(+OcEQU0700*ApSol*Capac_Esp!$F$23*MAX(MIN(E42:G42),MIN(E43:G43),MIN(E44:G44))))</f>
        <v>NA</v>
      </c>
      <c r="G120" s="299" t="str">
        <f>IF(AsaRot2=1,"NA",(+OcEQU01500*ApSol*Capac_Esp!$F$23*MAX(MIN(E46:G46),MIN(E47:G47),MIN(E48:G48))))</f>
        <v>NA</v>
      </c>
      <c r="H120" s="308" t="str">
        <f>IF(AsaRot2=1,"NA",(IF(MAX(E120/EXP(-0.005*E$112), F120/EXP(-0.005*F$112), G120/EXP(-0.005*G$112))*EXP(-0.005*H$112)&lt;Capac_Esp!$E$20,Capac_Esp!$E$20,(MAX(E120/EXP(-0.005*E$112), F120/EXP(-0.005*F$112), G120/EXP(-0.005*G$112))*EXP(-0.005*H$112)))))</f>
        <v>NA</v>
      </c>
      <c r="I120" s="309" t="str">
        <f>IF(AsaRot2=1,"NA",(IF(MAX(E120/EXP(-0.005*E$112), F120/EXP(-0.005*F$112), G120/EXP(-0.005*G$112))*EXP(-0.005*I$112)&lt;Capac_Esp!$E$20,Capac_Esp!$E$20,(MAX(E120/EXP(-0.005*E$112), F120/EXP(-0.005*F$112), G120/EXP(-0.005*G$112))*EXP(-0.005*I$112)))))</f>
        <v>NA</v>
      </c>
      <c r="J120" s="15"/>
      <c r="K120" s="15"/>
    </row>
    <row r="121" spans="1:12">
      <c r="A121" s="612"/>
      <c r="B121" s="610"/>
      <c r="C121" s="610"/>
      <c r="D121" s="218">
        <v>2</v>
      </c>
      <c r="E121" s="296"/>
      <c r="F121" s="287">
        <f ca="1">(+OcEQU0700*ApSol*Capac_Esp!$F$23*MAX(MIN(I42:K42),MIN(I43:K43),MIN(I44:K44)))</f>
        <v>0.18749243140464006</v>
      </c>
      <c r="G121" s="297">
        <f ca="1">(+OcEQU01500*ApSol*Capac_Esp!$F$23*MAX(MIN(I46:K46),MIN(I47:K47),MIN(I48:K48)))</f>
        <v>6.207703755106769E-4</v>
      </c>
      <c r="H121" s="306">
        <f ca="1">(IF(MAX(E121/EXP(-0.005*E$112), F121/EXP(-0.005*F$112), G121/EXP(-0.005*G$112))*EXP(-0.005*H$112)&lt;Capac_Esp!$E$20,Capac_Esp!$E$20,(MAX(E121/EXP(-0.005*E$112), F121/EXP(-0.005*F$112), G121/EXP(-0.005*G$112))*EXP(-0.005*H$112))))*(AsaRot2)</f>
        <v>0.41</v>
      </c>
      <c r="I121" s="307">
        <f ca="1">(IF(MAX(E121/EXP(-0.005*E$112), F121/EXP(-0.005*F$112), G121/EXP(-0.005*G$112))*EXP(-0.005*I$112)&lt;Capac_Esp!$E$20,Capac_Esp!$E$20,(MAX(E121/EXP(-0.005*E$112), F121/EXP(-0.005*F$112), G121/EXP(-0.005*G$112))*EXP(-0.005*I$112))))*(AsaRot2)</f>
        <v>0.41</v>
      </c>
      <c r="J121" s="15"/>
      <c r="K121" s="15"/>
      <c r="L121" s="15"/>
    </row>
    <row r="122" spans="1:12">
      <c r="A122" s="611" t="s">
        <v>499</v>
      </c>
      <c r="B122" s="610">
        <v>12</v>
      </c>
      <c r="C122" s="610" t="s">
        <v>332</v>
      </c>
      <c r="D122" s="125">
        <v>1</v>
      </c>
      <c r="E122" s="300"/>
      <c r="F122" s="286" t="str">
        <f>IF(AsaRot2=1,"NA",(+OcEQU12700*ApSol*Capac_Esp!$F$23*MAX(MIN(E72:G72),MIN(E73:G73),MIN(E74:G74))))</f>
        <v>NA</v>
      </c>
      <c r="G122" s="299" t="str">
        <f>IF(AsaRot2=1,"NA",(+OcEQU121500*ApSol*Capac_Esp!$F$23*MAX(MIN(E76:G76),MIN(E77:G77),MIN(E78:G78))))</f>
        <v>NA</v>
      </c>
      <c r="H122" s="308" t="str">
        <f>IF(AsaRot2=1,"NA",(IF(MAX(E122/EXP(-0.005*E$112), F122/EXP(-0.005*F$112), G122/EXP(-0.005*G$112))*EXP(-0.005*H$112)&lt;Capac_Esp!$E$20,Capac_Esp!$E$20,(MAX(E122/EXP(-0.005*E$112), F122/EXP(-0.005*F$112), G122/EXP(-0.005*G$112))*EXP(-0.005*H$112)))))</f>
        <v>NA</v>
      </c>
      <c r="I122" s="309" t="str">
        <f>IF(AsaRot2=1,"NA",(IF(MAX(E122/EXP(-0.005*E$112), F122/EXP(-0.005*F$112), G122/EXP(-0.005*G$112))*EXP(-0.005*I$112)&lt;Capac_Esp!$E$20,Capac_Esp!$E$20,(MAX(E122/EXP(-0.005*E$112), F122/EXP(-0.005*F$112), G122/EXP(-0.005*G$112))*EXP(-0.005*I$112)))))</f>
        <v>NA</v>
      </c>
      <c r="J122" s="15"/>
      <c r="K122" s="15"/>
    </row>
    <row r="123" spans="1:12">
      <c r="A123" s="611"/>
      <c r="B123" s="610"/>
      <c r="C123" s="610"/>
      <c r="D123" s="218">
        <v>2</v>
      </c>
      <c r="E123" s="296"/>
      <c r="F123" s="287">
        <f ca="1">(+OcEQU12700*ApSol*Capac_Esp!$F$23*MAX(MIN(I72:K72),MIN(I73:K73),MIN(I74:K74)))</f>
        <v>0.18729360592064787</v>
      </c>
      <c r="G123" s="297">
        <f ca="1">(+OcEQU121500*ApSol*Capac_Esp!$F$23*MAX(MIN(I76:K76),MIN(I77:K77),MIN(I78:K78)))</f>
        <v>1.2314642159585384E-3</v>
      </c>
      <c r="H123" s="306">
        <f ca="1">(IF(MAX(E123/EXP(-0.005*E$112), F123/EXP(-0.005*F$112), G123/EXP(-0.005*G$112))*EXP(-0.005*H$112)&lt;Capac_Esp!$E$20,Capac_Esp!$E$20,(MAX(E123/EXP(-0.005*E$112), F123/EXP(-0.005*F$112), G123/EXP(-0.005*G$112))*EXP(-0.005*H$112))))*(AsaRot2)</f>
        <v>0.41</v>
      </c>
      <c r="I123" s="307">
        <f ca="1">(IF(MAX(E123/EXP(-0.005*E$112), F123/EXP(-0.005*F$112), G123/EXP(-0.005*G$112))*EXP(-0.005*I$112)&lt;Capac_Esp!$E$20,Capac_Esp!$E$20,(MAX(E123/EXP(-0.005*E$112), F123/EXP(-0.005*F$112), G123/EXP(-0.005*G$112))*EXP(-0.005*I$112))))*(AsaRot2)</f>
        <v>0.41</v>
      </c>
      <c r="J123" s="15"/>
      <c r="K123" s="15"/>
    </row>
    <row r="124" spans="1:12">
      <c r="A124" s="611" t="s">
        <v>499</v>
      </c>
      <c r="B124" s="610">
        <v>25</v>
      </c>
      <c r="C124" s="610" t="s">
        <v>332</v>
      </c>
      <c r="D124" s="125">
        <v>1</v>
      </c>
      <c r="E124" s="300"/>
      <c r="F124" s="286" t="str">
        <f>IF(AsaRot2=1,"NA",(+OcEQU25700*ApSol*Capac_Esp!$F$23*MAX(MIN(E102:G102),MIN(E103:G103),MIN(E104:G104))))</f>
        <v>NA</v>
      </c>
      <c r="G124" s="299" t="str">
        <f>IF(AsaRot2=1,"NA",(+OcEQU251500*ApSol*Capac_Esp!$F$23*MAX(MIN(E106:G106),MIN(E107:G107),MIN(E108:G108))))</f>
        <v>NA</v>
      </c>
      <c r="H124" s="308" t="str">
        <f>IF(AsaRot2=1,"NA",(IF(MAX(E124/EXP(-0.005*E$112), F124/EXP(-0.005*F$112), G124/EXP(-0.005*G$112))*EXP(-0.005*H$112)&lt;Capac_Esp!$E$20,Capac_Esp!$E$20,(MAX(E124/EXP(-0.005*E$112), F124/EXP(-0.005*F$112), G124/EXP(-0.005*G$112))*EXP(-0.005*H$112)))))</f>
        <v>NA</v>
      </c>
      <c r="I124" s="309" t="str">
        <f>IF(AsaRot2=1,"NA",(IF(MAX(E124/EXP(-0.005*E$112), F124/EXP(-0.005*F$112), G124/EXP(-0.005*G$112))*EXP(-0.005*I$112)&lt;Capac_Esp!$E$20,Capac_Esp!$E$20,(MAX(E124/EXP(-0.005*E$112), F124/EXP(-0.005*F$112), G124/EXP(-0.005*G$112))*EXP(-0.005*I$112)))))</f>
        <v>NA</v>
      </c>
      <c r="J124" s="15"/>
      <c r="K124" s="15"/>
    </row>
    <row r="125" spans="1:12">
      <c r="A125" s="611"/>
      <c r="B125" s="610"/>
      <c r="C125" s="610"/>
      <c r="D125" s="218">
        <v>2</v>
      </c>
      <c r="E125" s="296"/>
      <c r="F125" s="287">
        <f ca="1">(+OcEQU25700*ApSol*Capac_Esp!$F$23*MAX(MIN(I102:K102),MIN(I103:K103),MIN(I104:K104)))</f>
        <v>0.15583159798906676</v>
      </c>
      <c r="G125" s="297">
        <f ca="1">(+OcEQU251500*ApSol*Capac_Esp!$F$23*MAX(MIN(I106:K106),MIN(I107:K107),MIN(I108:K108)))</f>
        <v>3.8924776556627385E-4</v>
      </c>
      <c r="H125" s="306">
        <f ca="1">(IF(MAX(E125/EXP(-0.005*E$112), F125/EXP(-0.005*F$112), G125/EXP(-0.005*G$112))*EXP(-0.005*H$112)&lt;Capac_Esp!$E$20,Capac_Esp!$E$20,(MAX(E125/EXP(-0.005*E$112), F125/EXP(-0.005*F$112), G125/EXP(-0.005*G$112))*EXP(-0.005*H$112))))*(AsaRot2)</f>
        <v>0.41</v>
      </c>
      <c r="I125" s="307">
        <f ca="1">(IF(MAX(E125/EXP(-0.005*E$112), F125/EXP(-0.005*F$112), G125/EXP(-0.005*G$112))*EXP(-0.005*I$112)&lt;Capac_Esp!$E$20,Capac_Esp!$E$20,(MAX(E125/EXP(-0.005*E$112), F125/EXP(-0.005*F$112), G125/EXP(-0.005*G$112))*EXP(-0.005*I$112))))*(AsaRot2)</f>
        <v>0.41</v>
      </c>
      <c r="J125" s="15"/>
      <c r="K125" s="15"/>
    </row>
    <row r="126" spans="1:12">
      <c r="A126" s="611" t="s">
        <v>503</v>
      </c>
      <c r="B126" s="122" t="s">
        <v>504</v>
      </c>
      <c r="C126" s="610" t="s">
        <v>464</v>
      </c>
      <c r="D126" s="125">
        <v>1</v>
      </c>
      <c r="E126" s="298" t="str">
        <f>IF(AsaRot2=1,"NA",(+OcSSO10H400*ApNadir*Capac_Esp!$F$23*MAX(MIN(I7:K7),MIN(I8:K8),MIN(I9:K9))))</f>
        <v>NA</v>
      </c>
      <c r="F126" s="286" t="str">
        <f>IF(AsaRot2=1,"NA",(+OcSSO10H700*ApNadir*Capac_Esp!$F$23*MAX(MIN(I11:K11),MIN(I12:K12),MIN(I13:K13))))</f>
        <v>NA</v>
      </c>
      <c r="G126" s="299" t="str">
        <f>IF(AsaRot2=1,"NA",(+OcSSO10H1500*ApNadir*Capac_Esp!$F$23*MAX(MIN(I15:K15),MIN(I16:K16),MIN(I17:K17))))</f>
        <v>NA</v>
      </c>
      <c r="H126" s="308" t="str">
        <f>IF(AsaRot2=1,"NA",(IF(MAX(E126/EXP(-0.005*E$112), F126/EXP(-0.005*F$112), G126/EXP(-0.005*G$112))*EXP(-0.005*H$112)&lt;Capac_Esp!$E$20,Capac_Esp!$E$20,(MAX(E126/EXP(-0.005*E$112), F126/EXP(-0.005*F$112), G126/EXP(-0.005*G$112))*EXP(-0.005*H$112)))))</f>
        <v>NA</v>
      </c>
      <c r="I126" s="309" t="str">
        <f>IF(AsaRot2=1,"NA",(IF(MAX(E126/EXP(-0.005*E$112), F126/EXP(-0.005*F$112), G126/EXP(-0.005*G$112))*EXP(-0.005*I$112)&lt;Capac_Esp!$E$20,Capac_Esp!$E$20,(MAX(E126/EXP(-0.005*E$112), F126/EXP(-0.005*F$112), G126/EXP(-0.005*G$112))*EXP(-0.005*I$112)))))</f>
        <v>NA</v>
      </c>
      <c r="J126" s="15"/>
      <c r="K126" s="15"/>
    </row>
    <row r="127" spans="1:12">
      <c r="A127" s="611"/>
      <c r="B127" s="122">
        <v>100</v>
      </c>
      <c r="C127" s="610"/>
      <c r="D127" s="218">
        <v>2</v>
      </c>
      <c r="E127" s="296">
        <f ca="1">(+OcSSO10H400*ApNadir*Capac_Esp!$F$23*MAX(MIN(M7:O7),MIN(M8:O8),MIN(M9:O9)))</f>
        <v>0.79868640312053452</v>
      </c>
      <c r="F127" s="287">
        <f ca="1">(+OcSSO10H700*ApNadir*Capac_Esp!$F$23*MAX(MIN(M11:O11),MIN(M12:O12),MIN(M13:O13)))</f>
        <v>2.6516913209870797E-2</v>
      </c>
      <c r="G127" s="297">
        <f ca="1">(+OcSSO10H1500*ApNadir*Capac_Esp!$F$23*MAX(MIN(M15:O15),MIN(M16:O16),MIN(M17:O17)))</f>
        <v>2.4967047412880437E-4</v>
      </c>
      <c r="H127" s="306">
        <f ca="1">(IF(MAX(E127/EXP(-0.005*E$112), F127/EXP(-0.005*F$112), G127/EXP(-0.005*G$112))*EXP(-0.005*H$112)&lt;Capac_Esp!$E$20,Capac_Esp!$E$20,(MAX(E127/EXP(-0.005*E$112), F127/EXP(-0.005*F$112), G127/EXP(-0.005*G$112))*EXP(-0.005*H$112))))*(AsaRot2)</f>
        <v>0.41</v>
      </c>
      <c r="I127" s="307">
        <f ca="1">(IF(MAX(E127/EXP(-0.005*E$112), F127/EXP(-0.005*F$112), G127/EXP(-0.005*G$112))*EXP(-0.005*I$112)&lt;Capac_Esp!$E$20,Capac_Esp!$E$20,(MAX(E127/EXP(-0.005*E$112), F127/EXP(-0.005*F$112), G127/EXP(-0.005*G$112))*EXP(-0.005*I$112))))*(AsaRot2)</f>
        <v>0.41</v>
      </c>
      <c r="J127" s="15"/>
      <c r="K127" s="15"/>
    </row>
    <row r="128" spans="1:12">
      <c r="A128" s="611" t="s">
        <v>507</v>
      </c>
      <c r="B128" s="122" t="s">
        <v>504</v>
      </c>
      <c r="C128" s="610" t="s">
        <v>464</v>
      </c>
      <c r="D128" s="125">
        <v>1</v>
      </c>
      <c r="E128" s="298" t="str">
        <f>IF(AsaRot2=1,"NA",(+OcSSO12H400*ApNadir*Capac_Esp!$F$23*MAX(MIN(I7:K7),MIN(I8:K8),MIN(I9:K9))))</f>
        <v>NA</v>
      </c>
      <c r="F128" s="286" t="str">
        <f>IF(AsaRot2=1,"NA",(+OcSSO12H700*ApNadir*Capac_Esp!$F$23*MAX(MIN(I11:K11),MIN(I12:K12),MIN(I13:K13))))</f>
        <v>NA</v>
      </c>
      <c r="G128" s="299" t="str">
        <f>IF(AsaRot2=1,"NA",(+OcSSO12H1500*ApNadir*Capac_Esp!$F$23*MAX(MIN(I15:K15),MIN(I16:K16),MIN(I17:K17))))</f>
        <v>NA</v>
      </c>
      <c r="H128" s="308" t="str">
        <f>IF(AsaRot2=1,"NA",(IF(MAX(E128/EXP(-0.005*E$112), F128/EXP(-0.005*F$112), G128/EXP(-0.005*G$112))*EXP(-0.005*H$112)&lt;Capac_Esp!$E$20,Capac_Esp!$E$20,(MAX(E128/EXP(-0.005*E$112), F128/EXP(-0.005*F$112), G128/EXP(-0.005*G$112))*EXP(-0.005*H$112)))))</f>
        <v>NA</v>
      </c>
      <c r="I128" s="309" t="str">
        <f>IF(AsaRot2=1,"NA",(IF(MAX(E128/EXP(-0.005*E$112), F128/EXP(-0.005*F$112), G128/EXP(-0.005*G$112))*EXP(-0.005*I$112)&lt;Capac_Esp!$E$20,Capac_Esp!$E$20,(MAX(E128/EXP(-0.005*E$112), F128/EXP(-0.005*F$112), G128/EXP(-0.005*G$112))*EXP(-0.005*I$112)))))</f>
        <v>NA</v>
      </c>
      <c r="J128" s="15"/>
      <c r="K128" s="15"/>
    </row>
    <row r="129" spans="1:11" ht="15.75" thickBot="1">
      <c r="A129" s="613"/>
      <c r="B129" s="241">
        <v>100</v>
      </c>
      <c r="C129" s="614"/>
      <c r="D129" s="219">
        <v>2</v>
      </c>
      <c r="E129" s="301">
        <f ca="1">(+OcSSO12H400*ApNadir*Capac_Esp!$F$23*MAX(MIN(M7:O7),MIN(M8:O8),MIN(M9:O9)))</f>
        <v>0.79868640312053452</v>
      </c>
      <c r="F129" s="302">
        <f ca="1">(+OcSSO12H700*ApNadir*Capac_Esp!$F$23*MAX(MIN(M11:O11),MIN(M12:O12),MIN(M13:O13)))</f>
        <v>2.6516913209870797E-2</v>
      </c>
      <c r="G129" s="303">
        <f ca="1">(+OcSSO12H1500*ApNadir*Capac_Esp!$F$23*MAX(MIN(M15:O15),MIN(M16:O16),MIN(M17:O17)))</f>
        <v>2.4967047412880437E-4</v>
      </c>
      <c r="H129" s="310">
        <f ca="1">(IF(MAX(E129/EXP(-0.005*E$112), F129/EXP(-0.005*F$112), G129/EXP(-0.005*G$112))*EXP(-0.005*H$112)&lt;Capac_Esp!$E$20,Capac_Esp!$E$20,(MAX(E129/EXP(-0.005*E$112), F129/EXP(-0.005*F$112), G129/EXP(-0.005*G$112))*EXP(-0.005*H$112))))*(AsaRot2)</f>
        <v>0.41</v>
      </c>
      <c r="I129" s="311">
        <f ca="1">(IF(MAX(E129/EXP(-0.005*E$112), F129/EXP(-0.005*F$112), G129/EXP(-0.005*G$112))*EXP(-0.005*I$112)&lt;Capac_Esp!$E$20,Capac_Esp!$E$20,(MAX(E129/EXP(-0.005*E$112), F129/EXP(-0.005*F$112), G129/EXP(-0.005*G$112))*EXP(-0.005*I$112))))*(AsaRot2)</f>
        <v>0.41</v>
      </c>
      <c r="J129" s="15"/>
      <c r="K129" s="15"/>
    </row>
    <row r="130" spans="1:11" ht="15.75" thickBot="1">
      <c r="A130" s="127" t="s">
        <v>474</v>
      </c>
      <c r="B130" s="128">
        <f ca="1">MAX(H114:I129)</f>
        <v>1.0380008582037896</v>
      </c>
      <c r="C130" s="188" t="s">
        <v>500</v>
      </c>
      <c r="D130" s="189">
        <f ca="1">MIN(H115,I115,H117,I117,H119,I119,H121,I121,H123,I123,H125,I125,H127,I127,H129,I129)*AsaRot2+MIN(H114,I114,H116,I116,H118,I118,H120,I120,H122,I122,H124,I124,H126,I126,H128,I128)*AsaRot1</f>
        <v>0.41</v>
      </c>
      <c r="E130" s="127" t="s">
        <v>529</v>
      </c>
      <c r="F130" s="128">
        <f ca="1">(B130-D130)/ConfTRods</f>
        <v>0.6280008582037897</v>
      </c>
      <c r="G130" s="127" t="s">
        <v>780</v>
      </c>
      <c r="H130" s="128">
        <f ca="1">F130*Qtrods/ConfTRods</f>
        <v>1.8840025746113691</v>
      </c>
      <c r="I130" s="15"/>
      <c r="J130" s="15"/>
      <c r="K130" s="15"/>
    </row>
    <row r="131" spans="1:11" ht="15.75" thickBot="1">
      <c r="A131" s="543" t="s">
        <v>781</v>
      </c>
      <c r="B131" s="545">
        <f>Capac_Esp!E20</f>
        <v>0.41</v>
      </c>
      <c r="C131" s="190" t="s">
        <v>894</v>
      </c>
      <c r="D131" s="191">
        <f>Qtrods</f>
        <v>3</v>
      </c>
      <c r="E131" s="543" t="s">
        <v>893</v>
      </c>
      <c r="F131" s="543"/>
      <c r="G131" s="544"/>
      <c r="H131" s="185">
        <f>ConfTRods</f>
        <v>1</v>
      </c>
      <c r="I131" s="15"/>
      <c r="J131" s="15"/>
      <c r="K131" s="15"/>
    </row>
  </sheetData>
  <sheetProtection password="CAF5" sheet="1" objects="1" scenarios="1"/>
  <mergeCells count="25">
    <mergeCell ref="A126:A127"/>
    <mergeCell ref="C126:C127"/>
    <mergeCell ref="A128:A129"/>
    <mergeCell ref="C128:C129"/>
    <mergeCell ref="A110:I110"/>
    <mergeCell ref="A122:A123"/>
    <mergeCell ref="B122:B123"/>
    <mergeCell ref="C122:C123"/>
    <mergeCell ref="A124:A125"/>
    <mergeCell ref="B124:B125"/>
    <mergeCell ref="C124:C125"/>
    <mergeCell ref="A118:A119"/>
    <mergeCell ref="B118:B119"/>
    <mergeCell ref="C118:C119"/>
    <mergeCell ref="A120:A121"/>
    <mergeCell ref="B120:B121"/>
    <mergeCell ref="C120:C121"/>
    <mergeCell ref="H111:I111"/>
    <mergeCell ref="A114:A115"/>
    <mergeCell ref="B114:B115"/>
    <mergeCell ref="C114:C115"/>
    <mergeCell ref="A116:A117"/>
    <mergeCell ref="B116:B117"/>
    <mergeCell ref="C116:C117"/>
    <mergeCell ref="E111:G111"/>
  </mergeCells>
  <pageMargins left="0.511811024" right="0.511811024" top="0.78740157499999996" bottom="0.78740157499999996" header="0.31496062000000002" footer="0.31496062000000002"/>
  <pageSetup paperSize="168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292</vt:i4>
      </vt:variant>
    </vt:vector>
  </HeadingPairs>
  <TitlesOfParts>
    <vt:vector size="304" baseType="lpstr">
      <vt:lpstr>Introdução</vt:lpstr>
      <vt:lpstr>Total</vt:lpstr>
      <vt:lpstr>Entradas</vt:lpstr>
      <vt:lpstr>Parametros Gerais</vt:lpstr>
      <vt:lpstr>Parametros Blind</vt:lpstr>
      <vt:lpstr>Capac_Esp</vt:lpstr>
      <vt:lpstr>Arrasto</vt:lpstr>
      <vt:lpstr>Torque</vt:lpstr>
      <vt:lpstr>CMagnetico</vt:lpstr>
      <vt:lpstr>Energia</vt:lpstr>
      <vt:lpstr>Radiação</vt:lpstr>
      <vt:lpstr>Lançadores</vt:lpstr>
      <vt:lpstr>a_1500</vt:lpstr>
      <vt:lpstr>a_400</vt:lpstr>
      <vt:lpstr>a_700</vt:lpstr>
      <vt:lpstr>Aax_I01500</vt:lpstr>
      <vt:lpstr>Aax_I01500Max</vt:lpstr>
      <vt:lpstr>Aax_I0700</vt:lpstr>
      <vt:lpstr>Aax_I0700Max</vt:lpstr>
      <vt:lpstr>Aax_I121500</vt:lpstr>
      <vt:lpstr>Aax_I121500Max</vt:lpstr>
      <vt:lpstr>Aax_I12700</vt:lpstr>
      <vt:lpstr>Aax_I12700Max</vt:lpstr>
      <vt:lpstr>Aax_I251500</vt:lpstr>
      <vt:lpstr>Aax_I251500Max</vt:lpstr>
      <vt:lpstr>Aax_I25700</vt:lpstr>
      <vt:lpstr>Aax_I25700Max</vt:lpstr>
      <vt:lpstr>Aay_I01500</vt:lpstr>
      <vt:lpstr>Aay_I01500Max</vt:lpstr>
      <vt:lpstr>Aay_I0700</vt:lpstr>
      <vt:lpstr>Aay_I0700Max</vt:lpstr>
      <vt:lpstr>Aay_I121500</vt:lpstr>
      <vt:lpstr>Aay_I121500Max</vt:lpstr>
      <vt:lpstr>Aay_I12700</vt:lpstr>
      <vt:lpstr>Aay_I12700Max</vt:lpstr>
      <vt:lpstr>Aay_I251500</vt:lpstr>
      <vt:lpstr>Aay_I251500Max</vt:lpstr>
      <vt:lpstr>Aay_I25700</vt:lpstr>
      <vt:lpstr>Aay_I25700Max</vt:lpstr>
      <vt:lpstr>Aaz_I01500</vt:lpstr>
      <vt:lpstr>Aaz_I01500Max</vt:lpstr>
      <vt:lpstr>Aaz_I0700</vt:lpstr>
      <vt:lpstr>Aaz_I0700Max</vt:lpstr>
      <vt:lpstr>Aaz_I121500</vt:lpstr>
      <vt:lpstr>Aaz_I121500Max</vt:lpstr>
      <vt:lpstr>Aaz_I12700</vt:lpstr>
      <vt:lpstr>Aaz_I12700Max</vt:lpstr>
      <vt:lpstr>Aaz_I251500</vt:lpstr>
      <vt:lpstr>Aaz_I251500Max</vt:lpstr>
      <vt:lpstr>Aaz_I25700</vt:lpstr>
      <vt:lpstr>Aaz_I25700Max</vt:lpstr>
      <vt:lpstr>AEAdg</vt:lpstr>
      <vt:lpstr>AEAdm</vt:lpstr>
      <vt:lpstr>AEAdp</vt:lpstr>
      <vt:lpstr>AEDPg</vt:lpstr>
      <vt:lpstr>AEDPm</vt:lpstr>
      <vt:lpstr>AEDPp</vt:lpstr>
      <vt:lpstr>ApNadir</vt:lpstr>
      <vt:lpstr>aponto</vt:lpstr>
      <vt:lpstr>APS_my</vt:lpstr>
      <vt:lpstr>Aps_y</vt:lpstr>
      <vt:lpstr>ApSol</vt:lpstr>
      <vt:lpstr>AsaRot1</vt:lpstr>
      <vt:lpstr>AsaRot2</vt:lpstr>
      <vt:lpstr>Aswlat</vt:lpstr>
      <vt:lpstr>Aswmnx</vt:lpstr>
      <vt:lpstr>Aswmsx</vt:lpstr>
      <vt:lpstr>Asx</vt:lpstr>
      <vt:lpstr>Asy</vt:lpstr>
      <vt:lpstr>Asz</vt:lpstr>
      <vt:lpstr>AuPanel</vt:lpstr>
      <vt:lpstr>AuWing</vt:lpstr>
      <vt:lpstr>AxP</vt:lpstr>
      <vt:lpstr>AyP</vt:lpstr>
      <vt:lpstr>AzP</vt:lpstr>
      <vt:lpstr>BaHT</vt:lpstr>
      <vt:lpstr>BESSO1500H10</vt:lpstr>
      <vt:lpstr>BESSO1500H12</vt:lpstr>
      <vt:lpstr>BESSO400H10</vt:lpstr>
      <vt:lpstr>BESSO400H12</vt:lpstr>
      <vt:lpstr>BESSO700H10</vt:lpstr>
      <vt:lpstr>BESSO700H12</vt:lpstr>
      <vt:lpstr>BMHT</vt:lpstr>
      <vt:lpstr>Cd</vt:lpstr>
      <vt:lpstr>CEE</vt:lpstr>
      <vt:lpstr>Cfsi</vt:lpstr>
      <vt:lpstr>CMEQ01500x</vt:lpstr>
      <vt:lpstr>CMEQ01500y</vt:lpstr>
      <vt:lpstr>CMEQ01500z</vt:lpstr>
      <vt:lpstr>CMEQ0400x</vt:lpstr>
      <vt:lpstr>CMEQ0400y</vt:lpstr>
      <vt:lpstr>CMEQ0400z</vt:lpstr>
      <vt:lpstr>CMEQ0700x</vt:lpstr>
      <vt:lpstr>CMEQ0700y</vt:lpstr>
      <vt:lpstr>CMEQ0700z</vt:lpstr>
      <vt:lpstr>CMEQ121500x</vt:lpstr>
      <vt:lpstr>CMEQ121500y</vt:lpstr>
      <vt:lpstr>CMEQ121500z</vt:lpstr>
      <vt:lpstr>CMEQ12400x</vt:lpstr>
      <vt:lpstr>CMEQ12400y</vt:lpstr>
      <vt:lpstr>CMEQ12400z</vt:lpstr>
      <vt:lpstr>CMEQ12700x</vt:lpstr>
      <vt:lpstr>CMEQ12700y</vt:lpstr>
      <vt:lpstr>CMEQ12700z</vt:lpstr>
      <vt:lpstr>CMEQ251500x</vt:lpstr>
      <vt:lpstr>CMEQ251500y</vt:lpstr>
      <vt:lpstr>CMEQ251500z</vt:lpstr>
      <vt:lpstr>CMEQ25400x</vt:lpstr>
      <vt:lpstr>CMEQ25400y</vt:lpstr>
      <vt:lpstr>CMEQ25400z</vt:lpstr>
      <vt:lpstr>CMEQ25700x</vt:lpstr>
      <vt:lpstr>CMEQ25700y</vt:lpstr>
      <vt:lpstr>CMEQ25700z</vt:lpstr>
      <vt:lpstr>CMSS1500x</vt:lpstr>
      <vt:lpstr>CMSS1500y</vt:lpstr>
      <vt:lpstr>CMSS1500z</vt:lpstr>
      <vt:lpstr>CMSS400x</vt:lpstr>
      <vt:lpstr>CMSS400y</vt:lpstr>
      <vt:lpstr>CMSS400z</vt:lpstr>
      <vt:lpstr>CMSS700x</vt:lpstr>
      <vt:lpstr>CMSS700y</vt:lpstr>
      <vt:lpstr>CMSS700z</vt:lpstr>
      <vt:lpstr>ConfBatt</vt:lpstr>
      <vt:lpstr>ConfSAG</vt:lpstr>
      <vt:lpstr>ConfTanks</vt:lpstr>
      <vt:lpstr>ConfTRods</vt:lpstr>
      <vt:lpstr>ConfWheels</vt:lpstr>
      <vt:lpstr>Da</vt:lpstr>
      <vt:lpstr>DenAl</vt:lpstr>
      <vt:lpstr>DenCol</vt:lpstr>
      <vt:lpstr>DenHidra</vt:lpstr>
      <vt:lpstr>DESSO1500H10</vt:lpstr>
      <vt:lpstr>DESSO1500H12</vt:lpstr>
      <vt:lpstr>DESSO400H10</vt:lpstr>
      <vt:lpstr>DESSO400H12</vt:lpstr>
      <vt:lpstr>DESSO700H10</vt:lpstr>
      <vt:lpstr>DESSO700H12</vt:lpstr>
      <vt:lpstr>dmax</vt:lpstr>
      <vt:lpstr>DneprAlg</vt:lpstr>
      <vt:lpstr>DneprAlt</vt:lpstr>
      <vt:lpstr>Dneprc</vt:lpstr>
      <vt:lpstr>Dneprf1m</vt:lpstr>
      <vt:lpstr>Dod</vt:lpstr>
      <vt:lpstr>EBEQ01500BE</vt:lpstr>
      <vt:lpstr>EBEQ01500DE</vt:lpstr>
      <vt:lpstr>EBEQ01500ME</vt:lpstr>
      <vt:lpstr>EBEQ0400BE</vt:lpstr>
      <vt:lpstr>EBEQ0400DE</vt:lpstr>
      <vt:lpstr>EBEQ0400ME</vt:lpstr>
      <vt:lpstr>EBEQ0700BE</vt:lpstr>
      <vt:lpstr>EBEQ0700DE</vt:lpstr>
      <vt:lpstr>EBEQ0700ME</vt:lpstr>
      <vt:lpstr>EBEQ121500BE</vt:lpstr>
      <vt:lpstr>EBEQ121500DE</vt:lpstr>
      <vt:lpstr>EBEQ121500ME</vt:lpstr>
      <vt:lpstr>EBEQ12400BE</vt:lpstr>
      <vt:lpstr>EBEQ12400DE</vt:lpstr>
      <vt:lpstr>EBEQ12400ME</vt:lpstr>
      <vt:lpstr>EBEQ12700BE</vt:lpstr>
      <vt:lpstr>EBEQ12700DE</vt:lpstr>
      <vt:lpstr>EBEQ12700ME</vt:lpstr>
      <vt:lpstr>EBEQ251500BE</vt:lpstr>
      <vt:lpstr>EBEQ251500DE</vt:lpstr>
      <vt:lpstr>EBEQ251500ME</vt:lpstr>
      <vt:lpstr>EBEQ25400BE</vt:lpstr>
      <vt:lpstr>EBEQ25400DE</vt:lpstr>
      <vt:lpstr>EBEQ25400ME</vt:lpstr>
      <vt:lpstr>EBEQ25700BE</vt:lpstr>
      <vt:lpstr>EBEQ25700DE</vt:lpstr>
      <vt:lpstr>EBEQ25700ME</vt:lpstr>
      <vt:lpstr>EBSS400H10ME</vt:lpstr>
      <vt:lpstr>Efcb</vt:lpstr>
      <vt:lpstr>Efcell</vt:lpstr>
      <vt:lpstr>Efdb</vt:lpstr>
      <vt:lpstr>Efslat</vt:lpstr>
      <vt:lpstr>Efsmnx</vt:lpstr>
      <vt:lpstr>Efsmsx</vt:lpstr>
      <vt:lpstr>Efte</vt:lpstr>
      <vt:lpstr>ER</vt:lpstr>
      <vt:lpstr>ESHT</vt:lpstr>
      <vt:lpstr>Fmp</vt:lpstr>
      <vt:lpstr>FReB</vt:lpstr>
      <vt:lpstr>Fvm</vt:lpstr>
      <vt:lpstr>g0</vt:lpstr>
      <vt:lpstr>Entradas!Isp</vt:lpstr>
      <vt:lpstr>Isp</vt:lpstr>
      <vt:lpstr>m</vt:lpstr>
      <vt:lpstr>Mdb</vt:lpstr>
      <vt:lpstr>Mdps</vt:lpstr>
      <vt:lpstr>MdW</vt:lpstr>
      <vt:lpstr>MEmnx</vt:lpstr>
      <vt:lpstr>MEmny</vt:lpstr>
      <vt:lpstr>MEmnz</vt:lpstr>
      <vt:lpstr>MEmsx</vt:lpstr>
      <vt:lpstr>MEmsy</vt:lpstr>
      <vt:lpstr>MEmsz</vt:lpstr>
      <vt:lpstr>MEsi</vt:lpstr>
      <vt:lpstr>MESSO1500H10</vt:lpstr>
      <vt:lpstr>MESSO1500H12</vt:lpstr>
      <vt:lpstr>MESSO400H12</vt:lpstr>
      <vt:lpstr>MESSO700H10</vt:lpstr>
      <vt:lpstr>MESSO700H12</vt:lpstr>
      <vt:lpstr>Misi</vt:lpstr>
      <vt:lpstr>mp</vt:lpstr>
      <vt:lpstr>MPmnx</vt:lpstr>
      <vt:lpstr>MPmny</vt:lpstr>
      <vt:lpstr>MPmnz</vt:lpstr>
      <vt:lpstr>MPmsx</vt:lpstr>
      <vt:lpstr>MPmsy</vt:lpstr>
      <vt:lpstr>MPmsz</vt:lpstr>
      <vt:lpstr>NodW</vt:lpstr>
      <vt:lpstr>NomPlat</vt:lpstr>
      <vt:lpstr>OcEQU01500</vt:lpstr>
      <vt:lpstr>OcEQU0400</vt:lpstr>
      <vt:lpstr>OcEQU0700</vt:lpstr>
      <vt:lpstr>OcEQU121500</vt:lpstr>
      <vt:lpstr>OcEQU12400</vt:lpstr>
      <vt:lpstr>OcEQU12700</vt:lpstr>
      <vt:lpstr>OcEQU251500</vt:lpstr>
      <vt:lpstr>OcEQU25400</vt:lpstr>
      <vt:lpstr>OcEQU25700</vt:lpstr>
      <vt:lpstr>OcSSO10H1500</vt:lpstr>
      <vt:lpstr>OcSSO10H400</vt:lpstr>
      <vt:lpstr>OcSSO10H700</vt:lpstr>
      <vt:lpstr>OcSSO12H1500</vt:lpstr>
      <vt:lpstr>OcSSO12H400</vt:lpstr>
      <vt:lpstr>OcSSO12H700</vt:lpstr>
      <vt:lpstr>Orbalta</vt:lpstr>
      <vt:lpstr>Orbbaix</vt:lpstr>
      <vt:lpstr>Pmax</vt:lpstr>
      <vt:lpstr>PSHT</vt:lpstr>
      <vt:lpstr>PSLVAlg</vt:lpstr>
      <vt:lpstr>PSLVAlt</vt:lpstr>
      <vt:lpstr>PSLVc</vt:lpstr>
      <vt:lpstr>PSLVf1m</vt:lpstr>
      <vt:lpstr>Qbat</vt:lpstr>
      <vt:lpstr>QcAdg</vt:lpstr>
      <vt:lpstr>QcAdm</vt:lpstr>
      <vt:lpstr>QcAdp</vt:lpstr>
      <vt:lpstr>QcDPg</vt:lpstr>
      <vt:lpstr>QcDPm</vt:lpstr>
      <vt:lpstr>QcDPp</vt:lpstr>
      <vt:lpstr>Qe</vt:lpstr>
      <vt:lpstr>Qrwh</vt:lpstr>
      <vt:lpstr>Qtanks</vt:lpstr>
      <vt:lpstr>Qtrods</vt:lpstr>
      <vt:lpstr>R_1500</vt:lpstr>
      <vt:lpstr>R_1500_14</vt:lpstr>
      <vt:lpstr>R_1500_20</vt:lpstr>
      <vt:lpstr>R_1500_26</vt:lpstr>
      <vt:lpstr>R_1500_8</vt:lpstr>
      <vt:lpstr>R_400</vt:lpstr>
      <vt:lpstr>R_400_14</vt:lpstr>
      <vt:lpstr>R_400_20</vt:lpstr>
      <vt:lpstr>R_400_26</vt:lpstr>
      <vt:lpstr>R_400_8</vt:lpstr>
      <vt:lpstr>R_700</vt:lpstr>
      <vt:lpstr>R_700_14</vt:lpstr>
      <vt:lpstr>R_700_20</vt:lpstr>
      <vt:lpstr>R_700_26</vt:lpstr>
      <vt:lpstr>R_700_8</vt:lpstr>
      <vt:lpstr>RockotAlg</vt:lpstr>
      <vt:lpstr>RockotAlt</vt:lpstr>
      <vt:lpstr>Rockotc</vt:lpstr>
      <vt:lpstr>Rockotf1m</vt:lpstr>
      <vt:lpstr>RRHT</vt:lpstr>
      <vt:lpstr>Sadaspre</vt:lpstr>
      <vt:lpstr>Scte</vt:lpstr>
      <vt:lpstr>SegDia</vt:lpstr>
      <vt:lpstr>Sh</vt:lpstr>
      <vt:lpstr>T_1500</vt:lpstr>
      <vt:lpstr>T_400</vt:lpstr>
      <vt:lpstr>T_700</vt:lpstr>
      <vt:lpstr>tatm</vt:lpstr>
      <vt:lpstr>TaurusAlg</vt:lpstr>
      <vt:lpstr>TaurusAlt</vt:lpstr>
      <vt:lpstr>Taurusc</vt:lpstr>
      <vt:lpstr>Taurusf1m</vt:lpstr>
      <vt:lpstr>TIDbcx</vt:lpstr>
      <vt:lpstr>TIDbcxa</vt:lpstr>
      <vt:lpstr>TIDbfs</vt:lpstr>
      <vt:lpstr>TIDEqAd</vt:lpstr>
      <vt:lpstr>TIDMg</vt:lpstr>
      <vt:lpstr>TIDQT</vt:lpstr>
      <vt:lpstr>TQHT</vt:lpstr>
      <vt:lpstr>u</vt:lpstr>
      <vt:lpstr>VegaAlg</vt:lpstr>
      <vt:lpstr>VegaAlt</vt:lpstr>
      <vt:lpstr>Vegac</vt:lpstr>
      <vt:lpstr>Vegaf1m</vt:lpstr>
      <vt:lpstr>Vmin</vt:lpstr>
      <vt:lpstr>Vu</vt:lpstr>
      <vt:lpstr>Xcm</vt:lpstr>
      <vt:lpstr>Xcp</vt:lpstr>
      <vt:lpstr>Xcpmy</vt:lpstr>
      <vt:lpstr>Xcpy</vt:lpstr>
      <vt:lpstr>Ycm</vt:lpstr>
      <vt:lpstr>Ycp</vt:lpstr>
      <vt:lpstr>Ycpmy</vt:lpstr>
      <vt:lpstr>Ycpy</vt:lpstr>
      <vt:lpstr>Zcm</vt:lpstr>
      <vt:lpstr>Zcp</vt:lpstr>
      <vt:lpstr>Zcpmy</vt:lpstr>
      <vt:lpstr>Zcpy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Otavio L. Bogossian</dc:creator>
  <cp:lastModifiedBy>Bogossian</cp:lastModifiedBy>
  <cp:lastPrinted>2011-10-26T21:29:10Z</cp:lastPrinted>
  <dcterms:created xsi:type="dcterms:W3CDTF">2011-05-20T18:21:15Z</dcterms:created>
  <dcterms:modified xsi:type="dcterms:W3CDTF">2012-11-22T23:20:03Z</dcterms:modified>
</cp:coreProperties>
</file>